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P:\Employees\.Inactive\MJ\Compliance\Bead Compliance Forms\RMI EMRT\"/>
    </mc:Choice>
  </mc:AlternateContent>
  <xr:revisionPtr revIDLastSave="0" documentId="13_ncr:1_{D321D8D8-6454-4AE5-838B-8FA681C99A44}"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R19" i="4"/>
  <c r="P21" i="4"/>
  <c r="P20" i="4"/>
  <c r="Q20" i="4"/>
  <c r="Q18" i="4"/>
  <c r="P17" i="4"/>
  <c r="Q17" i="4"/>
  <c r="P16" i="4"/>
  <c r="P15" i="4"/>
  <c r="Q15" i="4"/>
  <c r="P14" i="4"/>
  <c r="Q14" i="4"/>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c r="U20" i="4"/>
  <c r="V20" i="4"/>
  <c r="S21" i="4"/>
  <c r="T21" i="4"/>
  <c r="U21" i="4"/>
  <c r="V21" i="4"/>
  <c r="W21" i="4"/>
  <c r="X21" i="4"/>
  <c r="Y21" i="4"/>
  <c r="Z21" i="4"/>
  <c r="AB12" i="5"/>
  <c r="V12" i="5"/>
  <c r="E12" i="5"/>
  <c r="AB11" i="5"/>
  <c r="V11" i="5"/>
  <c r="E11" i="5"/>
  <c r="AB10" i="5"/>
  <c r="V10" i="5"/>
  <c r="E10" i="5"/>
  <c r="AB9" i="5"/>
  <c r="V9" i="5"/>
  <c r="J9" i="5"/>
  <c r="AB8" i="5"/>
  <c r="V8" i="5"/>
  <c r="F8" i="5"/>
  <c r="AB7" i="5"/>
  <c r="V7" i="5"/>
  <c r="G7" i="5"/>
  <c r="AB6" i="5"/>
  <c r="V6" i="5"/>
  <c r="H6" i="5"/>
  <c r="I6" i="5"/>
  <c r="AB5" i="5"/>
  <c r="V5" i="5"/>
  <c r="E5" i="5"/>
  <c r="X5" i="5"/>
  <c r="H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G62" i="6"/>
  <c r="B61" i="6"/>
  <c r="B59" i="6"/>
  <c r="B58" i="6"/>
  <c r="B57" i="6"/>
  <c r="B56" i="6"/>
  <c r="B55" i="6"/>
  <c r="B54" i="6"/>
  <c r="B53" i="6"/>
  <c r="B52" i="6"/>
  <c r="B51" i="6"/>
  <c r="B50" i="6"/>
  <c r="G50" i="6"/>
  <c r="B48" i="6"/>
  <c r="B47" i="6"/>
  <c r="B46" i="6"/>
  <c r="B45" i="6"/>
  <c r="B44" i="6"/>
  <c r="B43" i="6"/>
  <c r="B42" i="6"/>
  <c r="B41" i="6"/>
  <c r="B40" i="6"/>
  <c r="G40" i="6"/>
  <c r="B39" i="6"/>
  <c r="B37" i="6"/>
  <c r="B36" i="6"/>
  <c r="B35" i="6"/>
  <c r="B34" i="6"/>
  <c r="B33" i="6"/>
  <c r="B32" i="6"/>
  <c r="B31" i="6"/>
  <c r="B30" i="6"/>
  <c r="B29" i="6"/>
  <c r="B28" i="6"/>
  <c r="B26" i="6"/>
  <c r="B25" i="6"/>
  <c r="B24" i="6"/>
  <c r="B23" i="6"/>
  <c r="B22" i="6"/>
  <c r="B21" i="6"/>
  <c r="B20" i="6"/>
  <c r="B19" i="6"/>
  <c r="B18" i="6"/>
  <c r="G18" i="6"/>
  <c r="B17" i="6"/>
  <c r="B15" i="6"/>
  <c r="B13" i="6"/>
  <c r="B12" i="6"/>
  <c r="B11" i="6"/>
  <c r="B10" i="6"/>
  <c r="B9" i="6"/>
  <c r="B6" i="6"/>
  <c r="B4" i="6"/>
  <c r="B114" i="4"/>
  <c r="A93" i="6"/>
  <c r="P41" i="4"/>
  <c r="B29" i="4"/>
  <c r="A16" i="6"/>
  <c r="B26" i="4"/>
  <c r="A15" i="6"/>
  <c r="B24" i="4"/>
  <c r="A13" i="6"/>
  <c r="B22" i="4"/>
  <c r="A12" i="6"/>
  <c r="B21" i="4"/>
  <c r="A11" i="6"/>
  <c r="B20" i="4"/>
  <c r="A10" i="6"/>
  <c r="B19" i="4"/>
  <c r="A9" i="6"/>
  <c r="A8" i="6"/>
  <c r="B12" i="4"/>
  <c r="A7" i="6"/>
  <c r="B10" i="4"/>
  <c r="A6" i="6"/>
  <c r="B9" i="4"/>
  <c r="A5" i="6"/>
  <c r="A139" i="4"/>
  <c r="B138" i="4"/>
  <c r="I114" i="4"/>
  <c r="H114" i="4"/>
  <c r="G29" i="4"/>
  <c r="G77" i="4"/>
  <c r="D29" i="4"/>
  <c r="D101" i="4"/>
  <c r="B113" i="4"/>
  <c r="H101" i="4"/>
  <c r="S43" i="4"/>
  <c r="T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c r="V14" i="5"/>
  <c r="E14" i="5"/>
  <c r="V15" i="5"/>
  <c r="E15" i="5"/>
  <c r="V16" i="5"/>
  <c r="E16" i="5"/>
  <c r="X16" i="5"/>
  <c r="V17" i="5"/>
  <c r="E17" i="5"/>
  <c r="V18" i="5"/>
  <c r="E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E2499" i="5"/>
  <c r="X2499" i="5"/>
  <c r="V2504" i="5"/>
  <c r="E2504" i="5"/>
  <c r="X2504" i="5"/>
  <c r="C123" i="6"/>
  <c r="C122" i="6"/>
  <c r="C121" i="6"/>
  <c r="C120" i="6"/>
  <c r="G103" i="6"/>
  <c r="G102" i="6"/>
  <c r="G101" i="6"/>
  <c r="G100" i="6"/>
  <c r="G88" i="6"/>
  <c r="G87" i="6"/>
  <c r="G86" i="6"/>
  <c r="G85" i="6"/>
  <c r="G84" i="6"/>
  <c r="G83" i="6"/>
  <c r="G77" i="6"/>
  <c r="G76" i="6"/>
  <c r="G75" i="6"/>
  <c r="G74" i="6"/>
  <c r="G73" i="6"/>
  <c r="G72" i="6"/>
  <c r="J74" i="6"/>
  <c r="G66" i="6"/>
  <c r="G65" i="6"/>
  <c r="G64" i="6"/>
  <c r="G63" i="6"/>
  <c r="G61" i="6"/>
  <c r="G55" i="6"/>
  <c r="G54" i="6"/>
  <c r="G53" i="6"/>
  <c r="G52" i="6"/>
  <c r="G51" i="6"/>
  <c r="G44" i="6"/>
  <c r="G43" i="6"/>
  <c r="G42" i="6"/>
  <c r="G41" i="6"/>
  <c r="G39" i="6"/>
  <c r="G33" i="6"/>
  <c r="G32" i="6"/>
  <c r="G31" i="6"/>
  <c r="G30" i="6"/>
  <c r="G29" i="6"/>
  <c r="G28" i="6"/>
  <c r="G1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J119" i="6"/>
  <c r="I119" i="6"/>
  <c r="J118" i="6"/>
  <c r="I118" i="6"/>
  <c r="J117" i="6"/>
  <c r="I117" i="6"/>
  <c r="J116" i="6"/>
  <c r="I116" i="6"/>
  <c r="J112" i="6"/>
  <c r="I112" i="6"/>
  <c r="C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3" i="5"/>
  <c r="J14" i="5"/>
  <c r="J15" i="5"/>
  <c r="J16" i="5"/>
  <c r="T16" i="5"/>
  <c r="J17" i="5"/>
  <c r="J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c r="G13" i="6"/>
  <c r="H13" i="6"/>
  <c r="D13" i="6"/>
  <c r="G5" i="6"/>
  <c r="H5" i="6"/>
  <c r="F6" i="6"/>
  <c r="H6" i="6"/>
  <c r="G6" i="6"/>
  <c r="G11" i="6"/>
  <c r="H11" i="6"/>
  <c r="D11" i="6"/>
  <c r="G12" i="6"/>
  <c r="H12" i="6"/>
  <c r="H14" i="6"/>
  <c r="G15" i="6"/>
  <c r="H15" i="6"/>
  <c r="D15" i="6"/>
  <c r="H16" i="6"/>
  <c r="I4" i="6"/>
  <c r="I5" i="6"/>
  <c r="C5" i="6"/>
  <c r="J5" i="6"/>
  <c r="I6" i="6"/>
  <c r="J6" i="6"/>
  <c r="I9" i="6"/>
  <c r="J9" i="6"/>
  <c r="I10" i="6"/>
  <c r="C10" i="6"/>
  <c r="J10" i="6"/>
  <c r="I11" i="6"/>
  <c r="J11" i="6"/>
  <c r="I12" i="6"/>
  <c r="J12" i="6"/>
  <c r="I13" i="6"/>
  <c r="C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98" i="5"/>
  <c r="X366"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c r="S49" i="4"/>
  <c r="S48" i="4"/>
  <c r="S50" i="4"/>
  <c r="S51" i="4"/>
  <c r="T51" i="4"/>
  <c r="U51" i="4"/>
  <c r="V51" i="4"/>
  <c r="W51" i="4"/>
  <c r="S16" i="5"/>
  <c r="S13" i="5"/>
  <c r="X18" i="5"/>
  <c r="X17" i="5"/>
  <c r="X15" i="5"/>
  <c r="X14" i="5"/>
  <c r="X12" i="5"/>
  <c r="F12" i="5"/>
  <c r="G12" i="5"/>
  <c r="H12" i="5"/>
  <c r="I12" i="5"/>
  <c r="J12" i="5"/>
  <c r="R12" i="5"/>
  <c r="F11" i="5"/>
  <c r="G11" i="5"/>
  <c r="R11" i="5"/>
  <c r="X11" i="5"/>
  <c r="H11" i="5"/>
  <c r="I11" i="5"/>
  <c r="J11" i="5"/>
  <c r="F10" i="5"/>
  <c r="J10" i="5"/>
  <c r="X10" i="5"/>
  <c r="G10" i="5"/>
  <c r="H10" i="5"/>
  <c r="I10" i="5"/>
  <c r="R10" i="5"/>
  <c r="F9" i="5"/>
  <c r="G9" i="5"/>
  <c r="R9" i="5"/>
  <c r="E9" i="5"/>
  <c r="X9" i="5"/>
  <c r="H9" i="5"/>
  <c r="I9" i="5"/>
  <c r="G8" i="5"/>
  <c r="H8" i="5"/>
  <c r="I8" i="5"/>
  <c r="J8" i="5"/>
  <c r="R8" i="5"/>
  <c r="E8" i="5"/>
  <c r="H7" i="5"/>
  <c r="I7" i="5"/>
  <c r="J7" i="5"/>
  <c r="E7" i="5"/>
  <c r="X7" i="5"/>
  <c r="R7" i="5"/>
  <c r="F7" i="5"/>
  <c r="E6" i="5"/>
  <c r="X6" i="5"/>
  <c r="J6" i="5"/>
  <c r="R6" i="5"/>
  <c r="F6" i="5"/>
  <c r="G6" i="5"/>
  <c r="I5" i="5"/>
  <c r="R5" i="5"/>
  <c r="J5" i="5"/>
  <c r="F5" i="5"/>
  <c r="G5" i="5"/>
  <c r="C15" i="6"/>
  <c r="C12" i="6"/>
  <c r="C11" i="6"/>
  <c r="C9" i="6"/>
  <c r="W20" i="4"/>
  <c r="T50" i="4"/>
  <c r="U50" i="4"/>
  <c r="V50" i="4"/>
  <c r="T48" i="4"/>
  <c r="U47" i="4"/>
  <c r="T44" i="4"/>
  <c r="U43" i="4"/>
  <c r="R18" i="4"/>
  <c r="R17" i="4"/>
  <c r="R15" i="4"/>
  <c r="Q16" i="4"/>
  <c r="R16" i="4"/>
  <c r="U48" i="4"/>
  <c r="S15" i="4"/>
  <c r="X51" i="4"/>
  <c r="Y51" i="4"/>
  <c r="X20" i="4"/>
  <c r="Y20" i="4"/>
  <c r="R13" i="4"/>
  <c r="R14" i="4"/>
  <c r="S14" i="4"/>
  <c r="T45" i="4"/>
  <c r="T49" i="4"/>
  <c r="T42" i="4"/>
  <c r="U42" i="4"/>
  <c r="T46" i="4"/>
  <c r="C6" i="6"/>
  <c r="D6" i="6"/>
  <c r="C4" i="6"/>
  <c r="D4" i="6"/>
  <c r="G65" i="4"/>
  <c r="G89" i="4"/>
  <c r="G101" i="4"/>
  <c r="D41" i="4"/>
  <c r="D114" i="4"/>
  <c r="D53" i="4"/>
  <c r="D77" i="4"/>
  <c r="G124" i="6" a="1"/>
  <c r="G124" i="6"/>
  <c r="G53" i="4"/>
  <c r="D65" i="4"/>
  <c r="G114" i="4"/>
  <c r="G41" i="4"/>
  <c r="F124" i="6"/>
  <c r="D89" i="4"/>
  <c r="S18" i="5"/>
  <c r="S17" i="5"/>
  <c r="S15" i="5"/>
  <c r="S14" i="5"/>
  <c r="T13" i="5"/>
  <c r="S12" i="5"/>
  <c r="S11" i="5"/>
  <c r="S10" i="5"/>
  <c r="S7" i="5"/>
  <c r="S5" i="5"/>
  <c r="X8" i="5"/>
  <c r="U44" i="4"/>
  <c r="T16" i="4"/>
  <c r="U49" i="4"/>
  <c r="S16" i="4"/>
  <c r="S17" i="4"/>
  <c r="S19" i="4"/>
  <c r="T19" i="4"/>
  <c r="U19" i="4"/>
  <c r="V19" i="4"/>
  <c r="W19" i="4"/>
  <c r="X19" i="4"/>
  <c r="Y19" i="4"/>
  <c r="Z19" i="4"/>
  <c r="S18" i="4"/>
  <c r="T17" i="4"/>
  <c r="U16" i="4"/>
  <c r="Z20" i="4"/>
  <c r="W50" i="4"/>
  <c r="X50" i="4"/>
  <c r="T14" i="4"/>
  <c r="T13" i="4"/>
  <c r="S13" i="4"/>
  <c r="S12" i="4"/>
  <c r="T12" i="4"/>
  <c r="V47" i="4"/>
  <c r="V42" i="4"/>
  <c r="W42" i="4"/>
  <c r="V43" i="4"/>
  <c r="V48" i="4"/>
  <c r="V49" i="4"/>
  <c r="W49" i="4"/>
  <c r="T15" i="4"/>
  <c r="U46" i="4"/>
  <c r="V46" i="4"/>
  <c r="U45" i="4"/>
  <c r="Z51" i="4"/>
  <c r="AA51" i="4"/>
  <c r="H124" i="6"/>
  <c r="C124" i="6"/>
  <c r="T18" i="5"/>
  <c r="T17" i="5"/>
  <c r="T15" i="5"/>
  <c r="T14" i="5"/>
  <c r="T12" i="5"/>
  <c r="T11" i="5"/>
  <c r="T10" i="5"/>
  <c r="S9" i="5"/>
  <c r="S8" i="5"/>
  <c r="T7" i="5"/>
  <c r="S6" i="5"/>
  <c r="T5" i="5"/>
  <c r="U17" i="4"/>
  <c r="T18" i="4"/>
  <c r="U18" i="4"/>
  <c r="V18" i="4"/>
  <c r="W18" i="4"/>
  <c r="X18" i="4"/>
  <c r="Y18" i="4"/>
  <c r="Z18" i="4"/>
  <c r="X49" i="4"/>
  <c r="Y49" i="4"/>
  <c r="V45" i="4"/>
  <c r="W45" i="4"/>
  <c r="V44" i="4"/>
  <c r="U15" i="4"/>
  <c r="V16" i="4"/>
  <c r="U14" i="4"/>
  <c r="U13" i="4"/>
  <c r="U12" i="4"/>
  <c r="V12" i="4"/>
  <c r="W48" i="4"/>
  <c r="X48" i="4"/>
  <c r="W47" i="4"/>
  <c r="Y50" i="4"/>
  <c r="Z50" i="4"/>
  <c r="W46" i="4"/>
  <c r="AB51" i="4"/>
  <c r="AC51" i="4"/>
  <c r="D124" i="6"/>
  <c r="T9" i="5"/>
  <c r="T8" i="5"/>
  <c r="T6" i="5"/>
  <c r="V17" i="4"/>
  <c r="W17" i="4"/>
  <c r="X17" i="4"/>
  <c r="Y17" i="4"/>
  <c r="Z17" i="4"/>
  <c r="Y48" i="4"/>
  <c r="Z48" i="4"/>
  <c r="Z49" i="4"/>
  <c r="AA49" i="4"/>
  <c r="X45" i="4"/>
  <c r="V15" i="4"/>
  <c r="V14" i="4"/>
  <c r="V13" i="4"/>
  <c r="X47" i="4"/>
  <c r="Y47" i="4"/>
  <c r="X46" i="4"/>
  <c r="W44" i="4"/>
  <c r="X44" i="4"/>
  <c r="W43" i="4"/>
  <c r="AA50" i="4"/>
  <c r="AB50" i="4"/>
  <c r="W16" i="4"/>
  <c r="Z47" i="4"/>
  <c r="AA47" i="4"/>
  <c r="W13" i="4"/>
  <c r="W12" i="4"/>
  <c r="X12" i="4"/>
  <c r="W14" i="4"/>
  <c r="W15" i="4"/>
  <c r="AB48" i="4"/>
  <c r="AB49" i="4"/>
  <c r="AC49" i="4"/>
  <c r="AC50" i="4"/>
  <c r="X42" i="4"/>
  <c r="Y42" i="4"/>
  <c r="X43" i="4"/>
  <c r="Y43" i="4"/>
  <c r="AA48" i="4"/>
  <c r="Y46" i="4"/>
  <c r="Z46" i="4"/>
  <c r="Y45" i="4"/>
  <c r="Y44" i="4"/>
  <c r="AA46" i="4"/>
  <c r="AB46" i="4"/>
  <c r="AC48" i="4"/>
  <c r="Z43" i="4"/>
  <c r="Z42" i="4"/>
  <c r="AA42" i="4"/>
  <c r="Z45" i="4"/>
  <c r="AA45" i="4"/>
  <c r="Z44" i="4"/>
  <c r="X16" i="4"/>
  <c r="Y16" i="4"/>
  <c r="X15" i="4"/>
  <c r="X13" i="4"/>
  <c r="X14" i="4"/>
  <c r="AB47" i="4"/>
  <c r="AC47" i="4"/>
  <c r="AB45" i="4"/>
  <c r="AC45" i="4"/>
  <c r="AC46" i="4"/>
  <c r="Y13" i="4"/>
  <c r="Y12" i="4"/>
  <c r="Z12" i="4"/>
  <c r="Y15" i="4"/>
  <c r="Y14" i="4"/>
  <c r="Z15" i="4"/>
  <c r="Z16" i="4"/>
  <c r="AA43" i="4"/>
  <c r="AA44" i="4"/>
  <c r="AB44" i="4"/>
  <c r="AB43" i="4"/>
  <c r="AC43" i="4"/>
  <c r="AB42" i="4"/>
  <c r="AC42" i="4"/>
  <c r="Z13" i="4"/>
  <c r="AA13" i="4" a="1"/>
  <c r="AA13" i="4"/>
  <c r="Z14" i="4"/>
  <c r="AA12" i="4"/>
  <c r="AC44" i="4"/>
  <c r="B31" i="4"/>
  <c r="A115" i="6"/>
  <c r="G115" i="6"/>
  <c r="AA14" i="4" a="1"/>
  <c r="AA14" i="4"/>
  <c r="B30" i="4"/>
  <c r="A114" i="6"/>
  <c r="G114" i="6"/>
  <c r="O31" i="4"/>
  <c r="A18" i="6"/>
  <c r="M31" i="4"/>
  <c r="A116" i="6"/>
  <c r="G116" i="6"/>
  <c r="B32" i="4"/>
  <c r="O30" i="4"/>
  <c r="A17" i="6"/>
  <c r="M30" i="4"/>
  <c r="G7" i="6"/>
  <c r="H7" i="6"/>
  <c r="AA15" i="4" a="1"/>
  <c r="AA15" i="4"/>
  <c r="AA16" i="4" a="1"/>
  <c r="AA16" i="4"/>
  <c r="AA17" i="4" a="1"/>
  <c r="AA17" i="4"/>
  <c r="B35" i="4"/>
  <c r="D7" i="6"/>
  <c r="C7" i="6"/>
  <c r="F29" i="6"/>
  <c r="H29" i="6"/>
  <c r="F40" i="6"/>
  <c r="F18" i="6"/>
  <c r="H18" i="6"/>
  <c r="F39" i="6"/>
  <c r="F28" i="6"/>
  <c r="H28" i="6"/>
  <c r="F17" i="6"/>
  <c r="H17" i="6"/>
  <c r="P55" i="4"/>
  <c r="P43" i="4"/>
  <c r="B43" i="4"/>
  <c r="A118" i="6"/>
  <c r="G118" i="6"/>
  <c r="B34" i="4"/>
  <c r="P54" i="4"/>
  <c r="P42" i="4"/>
  <c r="B42" i="4"/>
  <c r="B33" i="4"/>
  <c r="A117" i="6"/>
  <c r="G117" i="6"/>
  <c r="A19" i="6"/>
  <c r="O32" i="4"/>
  <c r="M32" i="4"/>
  <c r="AA18" i="4" a="1"/>
  <c r="AA18" i="4"/>
  <c r="AA19" i="4" a="1"/>
  <c r="AA19" i="4"/>
  <c r="B37" i="4"/>
  <c r="A119" i="6"/>
  <c r="G119" i="6"/>
  <c r="A121" i="6"/>
  <c r="B36" i="4"/>
  <c r="M43" i="4"/>
  <c r="A29" i="6"/>
  <c r="D17" i="6"/>
  <c r="C17" i="6"/>
  <c r="K114" i="6"/>
  <c r="D28" i="6"/>
  <c r="C28" i="6"/>
  <c r="A28" i="6"/>
  <c r="M42" i="4"/>
  <c r="F114" i="6"/>
  <c r="F98" i="6"/>
  <c r="H98" i="6"/>
  <c r="F50" i="6"/>
  <c r="H39" i="6"/>
  <c r="AA20" i="4" a="1"/>
  <c r="AA20" i="4"/>
  <c r="AA21" i="4" a="1"/>
  <c r="AA21" i="4"/>
  <c r="B55" i="4"/>
  <c r="B121" i="4"/>
  <c r="B103" i="4"/>
  <c r="B67" i="4"/>
  <c r="B91" i="4"/>
  <c r="B79" i="4"/>
  <c r="D18" i="6"/>
  <c r="C18" i="6"/>
  <c r="F41" i="6"/>
  <c r="F19" i="6"/>
  <c r="H19" i="6"/>
  <c r="F30" i="6"/>
  <c r="H30" i="6"/>
  <c r="B78" i="4"/>
  <c r="B90" i="4"/>
  <c r="B66" i="4"/>
  <c r="B54" i="4"/>
  <c r="B120" i="4"/>
  <c r="B102" i="4"/>
  <c r="M34" i="4"/>
  <c r="O34" i="4"/>
  <c r="A21" i="6"/>
  <c r="K115" i="6"/>
  <c r="D29" i="6"/>
  <c r="C29" i="6"/>
  <c r="P56" i="4"/>
  <c r="P44" i="4"/>
  <c r="B44" i="4"/>
  <c r="H40" i="6"/>
  <c r="F51" i="6"/>
  <c r="F115" i="6"/>
  <c r="H115" i="6"/>
  <c r="F99" i="6"/>
  <c r="H99" i="6"/>
  <c r="A20" i="6"/>
  <c r="M33" i="4"/>
  <c r="O33" i="4"/>
  <c r="A22" i="6"/>
  <c r="M35" i="4"/>
  <c r="O35" i="4"/>
  <c r="A120" i="6"/>
  <c r="A123" i="6"/>
  <c r="B39" i="4"/>
  <c r="AA22" i="4"/>
  <c r="AA23" i="4"/>
  <c r="M103" i="4"/>
  <c r="A84" i="6"/>
  <c r="A23" i="6"/>
  <c r="O36" i="4"/>
  <c r="M36" i="4"/>
  <c r="A99" i="6"/>
  <c r="M121" i="4"/>
  <c r="A61" i="6"/>
  <c r="M78" i="4"/>
  <c r="M66" i="4"/>
  <c r="A50" i="6"/>
  <c r="P45" i="4"/>
  <c r="B45" i="4"/>
  <c r="P57" i="4"/>
  <c r="O37" i="4"/>
  <c r="M37" i="4"/>
  <c r="A24" i="6"/>
  <c r="A72" i="6"/>
  <c r="M90" i="4"/>
  <c r="H50" i="6"/>
  <c r="F61" i="6"/>
  <c r="B56" i="4"/>
  <c r="B104" i="4"/>
  <c r="B68" i="4"/>
  <c r="B80" i="4"/>
  <c r="B92" i="4"/>
  <c r="B122" i="4"/>
  <c r="D39" i="6"/>
  <c r="C39" i="6"/>
  <c r="F32" i="6"/>
  <c r="H32" i="6"/>
  <c r="F43" i="6"/>
  <c r="F21" i="6"/>
  <c r="H21" i="6"/>
  <c r="D98" i="6"/>
  <c r="C98" i="6"/>
  <c r="M55" i="4"/>
  <c r="A40" i="6"/>
  <c r="D19" i="6"/>
  <c r="C19" i="6"/>
  <c r="C115" i="6"/>
  <c r="D115" i="6"/>
  <c r="M44" i="4"/>
  <c r="A30" i="6"/>
  <c r="F116" i="6"/>
  <c r="H116" i="6"/>
  <c r="H41" i="6"/>
  <c r="F100" i="6"/>
  <c r="H100" i="6"/>
  <c r="F52" i="6"/>
  <c r="B2" i="6"/>
  <c r="H114" i="6"/>
  <c r="A122" i="6"/>
  <c r="B38" i="4"/>
  <c r="D99" i="6"/>
  <c r="C99" i="6"/>
  <c r="M79" i="4"/>
  <c r="A62" i="6"/>
  <c r="P58" i="4"/>
  <c r="P46" i="4"/>
  <c r="B46" i="4"/>
  <c r="H51" i="6"/>
  <c r="F62" i="6"/>
  <c r="F44" i="6"/>
  <c r="F22" i="6"/>
  <c r="H22" i="6"/>
  <c r="F33" i="6"/>
  <c r="H33" i="6"/>
  <c r="D30" i="6"/>
  <c r="K116" i="6"/>
  <c r="C30" i="6"/>
  <c r="F42" i="6"/>
  <c r="F94" i="6"/>
  <c r="F20" i="6"/>
  <c r="H20" i="6"/>
  <c r="F31" i="6"/>
  <c r="H31" i="6"/>
  <c r="D40" i="6"/>
  <c r="C40" i="6"/>
  <c r="A83" i="6"/>
  <c r="M102" i="4"/>
  <c r="M120" i="4"/>
  <c r="A98" i="6"/>
  <c r="M91" i="4"/>
  <c r="A73" i="6"/>
  <c r="P47" i="4"/>
  <c r="B47" i="4"/>
  <c r="P59" i="4"/>
  <c r="M54" i="4"/>
  <c r="A39" i="6"/>
  <c r="A51" i="6"/>
  <c r="M67" i="4"/>
  <c r="H94" i="6"/>
  <c r="F109" i="6"/>
  <c r="H109" i="6"/>
  <c r="F108" i="6"/>
  <c r="H108" i="6"/>
  <c r="F95" i="6"/>
  <c r="F111" i="6"/>
  <c r="H111" i="6"/>
  <c r="F110" i="6"/>
  <c r="H110" i="6"/>
  <c r="A74" i="6"/>
  <c r="M92" i="4"/>
  <c r="B81" i="4"/>
  <c r="B123" i="4"/>
  <c r="B105" i="4"/>
  <c r="B69" i="4"/>
  <c r="B93" i="4"/>
  <c r="B57" i="4"/>
  <c r="M45" i="4"/>
  <c r="A31" i="6"/>
  <c r="B58" i="4"/>
  <c r="B124" i="4"/>
  <c r="B106" i="4"/>
  <c r="B82" i="4"/>
  <c r="B94" i="4"/>
  <c r="B70" i="4"/>
  <c r="Q41" i="4"/>
  <c r="B41" i="4"/>
  <c r="A27" i="6"/>
  <c r="Q53" i="4"/>
  <c r="A33" i="6"/>
  <c r="M47" i="4"/>
  <c r="M104" i="4"/>
  <c r="A85" i="6"/>
  <c r="A41" i="6"/>
  <c r="M56" i="4"/>
  <c r="F53" i="6"/>
  <c r="F117" i="6"/>
  <c r="H117" i="6"/>
  <c r="H42" i="6"/>
  <c r="F101" i="6"/>
  <c r="H101" i="6"/>
  <c r="K119" i="6"/>
  <c r="D33" i="6"/>
  <c r="C33" i="6"/>
  <c r="D100" i="6"/>
  <c r="C100" i="6"/>
  <c r="H61" i="6"/>
  <c r="F72" i="6"/>
  <c r="M80" i="4"/>
  <c r="A63" i="6"/>
  <c r="D22" i="6"/>
  <c r="C22" i="6"/>
  <c r="D41" i="6"/>
  <c r="C41" i="6"/>
  <c r="D21" i="6"/>
  <c r="C21" i="6"/>
  <c r="D50" i="6"/>
  <c r="C50" i="6"/>
  <c r="F103" i="6"/>
  <c r="H103" i="6"/>
  <c r="F55" i="6"/>
  <c r="H44" i="6"/>
  <c r="F119" i="6"/>
  <c r="H119" i="6"/>
  <c r="D116" i="6"/>
  <c r="C116" i="6"/>
  <c r="F102" i="6"/>
  <c r="H102" i="6"/>
  <c r="F118" i="6"/>
  <c r="H118" i="6"/>
  <c r="H43" i="6"/>
  <c r="F54" i="6"/>
  <c r="C20" i="6"/>
  <c r="D20" i="6"/>
  <c r="A52" i="6"/>
  <c r="M68" i="4"/>
  <c r="D32" i="6"/>
  <c r="K118" i="6"/>
  <c r="C32" i="6"/>
  <c r="P48" i="4"/>
  <c r="B48" i="4"/>
  <c r="P60" i="4"/>
  <c r="A26" i="6"/>
  <c r="O39" i="4"/>
  <c r="M39" i="4"/>
  <c r="C114" i="6"/>
  <c r="D114" i="6"/>
  <c r="H52" i="6"/>
  <c r="F63" i="6"/>
  <c r="B107" i="4"/>
  <c r="B125" i="4"/>
  <c r="B59" i="4"/>
  <c r="B71" i="4"/>
  <c r="B83" i="4"/>
  <c r="B95" i="4"/>
  <c r="M38" i="4"/>
  <c r="A25" i="6"/>
  <c r="O38" i="4"/>
  <c r="H62" i="6"/>
  <c r="F73" i="6"/>
  <c r="C51" i="6"/>
  <c r="D51" i="6"/>
  <c r="K117" i="6"/>
  <c r="C31" i="6"/>
  <c r="D31" i="6"/>
  <c r="M46" i="4"/>
  <c r="A32" i="6"/>
  <c r="M122" i="4"/>
  <c r="A100" i="6"/>
  <c r="P49" i="4"/>
  <c r="B49" i="4"/>
  <c r="P61" i="4"/>
  <c r="M95" i="4"/>
  <c r="A77" i="6"/>
  <c r="D43" i="6"/>
  <c r="C43" i="6"/>
  <c r="B65" i="4"/>
  <c r="A49" i="6"/>
  <c r="B115" i="4"/>
  <c r="A94" i="6"/>
  <c r="B77" i="4"/>
  <c r="A60" i="6"/>
  <c r="B117" i="4"/>
  <c r="A95" i="6"/>
  <c r="B119" i="4"/>
  <c r="A97" i="6"/>
  <c r="B131" i="4"/>
  <c r="A108" i="6"/>
  <c r="B89" i="4"/>
  <c r="A71" i="6"/>
  <c r="B133" i="4"/>
  <c r="A109" i="6"/>
  <c r="B135" i="4"/>
  <c r="A110" i="6"/>
  <c r="B101" i="4"/>
  <c r="A82" i="6"/>
  <c r="B137" i="4"/>
  <c r="A111" i="6"/>
  <c r="B53" i="4"/>
  <c r="A38" i="6"/>
  <c r="A53" i="6"/>
  <c r="M69" i="4"/>
  <c r="M105" i="4"/>
  <c r="A86" i="6"/>
  <c r="M48" i="4"/>
  <c r="A34" i="6"/>
  <c r="D102" i="6"/>
  <c r="C102" i="6"/>
  <c r="C101" i="6"/>
  <c r="D101" i="6"/>
  <c r="A54" i="6"/>
  <c r="M70" i="4"/>
  <c r="A101" i="6"/>
  <c r="M123" i="4"/>
  <c r="D42" i="6"/>
  <c r="C42" i="6"/>
  <c r="A76" i="6"/>
  <c r="M94" i="4"/>
  <c r="M81" i="4"/>
  <c r="A64" i="6"/>
  <c r="M83" i="4"/>
  <c r="A66" i="6"/>
  <c r="D117" i="6"/>
  <c r="C117" i="6"/>
  <c r="A65" i="6"/>
  <c r="M82" i="4"/>
  <c r="A44" i="6"/>
  <c r="M59" i="4"/>
  <c r="A103" i="6"/>
  <c r="M125" i="4"/>
  <c r="A88" i="6"/>
  <c r="M107" i="4"/>
  <c r="D119" i="6"/>
  <c r="C119" i="6"/>
  <c r="H53" i="6"/>
  <c r="F64" i="6"/>
  <c r="M106" i="4"/>
  <c r="A87" i="6"/>
  <c r="A55" i="6"/>
  <c r="M71" i="4"/>
  <c r="D44" i="6"/>
  <c r="C44" i="6"/>
  <c r="A102" i="6"/>
  <c r="M124" i="4"/>
  <c r="D110" i="6"/>
  <c r="C110" i="6"/>
  <c r="H55" i="6"/>
  <c r="F66" i="6"/>
  <c r="M58" i="4"/>
  <c r="A43" i="6"/>
  <c r="D111" i="6"/>
  <c r="C111" i="6"/>
  <c r="F74" i="6"/>
  <c r="H63" i="6"/>
  <c r="C52" i="6"/>
  <c r="D52" i="6"/>
  <c r="F83" i="6"/>
  <c r="H83" i="6"/>
  <c r="H72" i="6"/>
  <c r="B127" i="4"/>
  <c r="B97" i="4"/>
  <c r="B73" i="4"/>
  <c r="B109" i="4"/>
  <c r="B61" i="4"/>
  <c r="B85" i="4"/>
  <c r="D62" i="6"/>
  <c r="C62" i="6"/>
  <c r="C103" i="6"/>
  <c r="D103" i="6"/>
  <c r="D61" i="6"/>
  <c r="C61" i="6"/>
  <c r="F96" i="6"/>
  <c r="H96" i="6"/>
  <c r="H95" i="6"/>
  <c r="B126" i="4"/>
  <c r="B72" i="4"/>
  <c r="B96" i="4"/>
  <c r="B108" i="4"/>
  <c r="B60" i="4"/>
  <c r="B84" i="4"/>
  <c r="F84" i="6"/>
  <c r="H84" i="6"/>
  <c r="H73" i="6"/>
  <c r="M49" i="4"/>
  <c r="A35" i="6"/>
  <c r="P62" i="4"/>
  <c r="P50" i="4"/>
  <c r="B50" i="4"/>
  <c r="D108" i="6"/>
  <c r="C108" i="6"/>
  <c r="C118" i="6"/>
  <c r="D118" i="6"/>
  <c r="A42" i="6"/>
  <c r="M57" i="4"/>
  <c r="D109" i="6"/>
  <c r="C109" i="6"/>
  <c r="P63" i="4"/>
  <c r="P51" i="4"/>
  <c r="B51" i="4"/>
  <c r="F65" i="6"/>
  <c r="H54" i="6"/>
  <c r="A75" i="6"/>
  <c r="M93" i="4"/>
  <c r="D94" i="6"/>
  <c r="C94" i="6"/>
  <c r="A78" i="6"/>
  <c r="M96" i="4"/>
  <c r="A36" i="6"/>
  <c r="M50" i="4"/>
  <c r="D95" i="6"/>
  <c r="C95" i="6"/>
  <c r="D84" i="6"/>
  <c r="C84" i="6"/>
  <c r="D63" i="6"/>
  <c r="C63" i="6"/>
  <c r="M108" i="4"/>
  <c r="A89" i="6"/>
  <c r="M61" i="4"/>
  <c r="A46" i="6"/>
  <c r="M84" i="4"/>
  <c r="A67" i="6"/>
  <c r="M85" i="4"/>
  <c r="A68" i="6"/>
  <c r="F85" i="6"/>
  <c r="H85" i="6"/>
  <c r="H74" i="6"/>
  <c r="A45" i="6"/>
  <c r="M60" i="4"/>
  <c r="A57" i="6"/>
  <c r="M73" i="4"/>
  <c r="D54" i="6"/>
  <c r="C54" i="6"/>
  <c r="B62" i="4"/>
  <c r="B74" i="4"/>
  <c r="B128" i="4"/>
  <c r="B86" i="4"/>
  <c r="B110" i="4"/>
  <c r="B98" i="4"/>
  <c r="D96" i="6"/>
  <c r="C96" i="6"/>
  <c r="H66" i="6"/>
  <c r="F77" i="6"/>
  <c r="F75" i="6"/>
  <c r="H64" i="6"/>
  <c r="A90" i="6"/>
  <c r="M109" i="4"/>
  <c r="F76" i="6"/>
  <c r="H65" i="6"/>
  <c r="M127" i="4"/>
  <c r="A105" i="6"/>
  <c r="M72" i="4"/>
  <c r="A56" i="6"/>
  <c r="A104" i="6"/>
  <c r="M126" i="4"/>
  <c r="A79" i="6"/>
  <c r="M97" i="4"/>
  <c r="A37" i="6"/>
  <c r="M51" i="4"/>
  <c r="C72" i="6"/>
  <c r="D72" i="6"/>
  <c r="C55" i="6"/>
  <c r="D55" i="6"/>
  <c r="D53" i="6"/>
  <c r="C53" i="6"/>
  <c r="B75" i="4"/>
  <c r="B87" i="4"/>
  <c r="B99" i="4"/>
  <c r="B63" i="4"/>
  <c r="B111" i="4"/>
  <c r="B129" i="4"/>
  <c r="D83" i="6"/>
  <c r="C83" i="6"/>
  <c r="C73" i="6"/>
  <c r="D73" i="6"/>
  <c r="D66" i="6"/>
  <c r="C66" i="6"/>
  <c r="A80" i="6"/>
  <c r="M98" i="4"/>
  <c r="C74" i="6"/>
  <c r="D74" i="6"/>
  <c r="M110" i="4"/>
  <c r="A91" i="6"/>
  <c r="D85" i="6"/>
  <c r="C85" i="6"/>
  <c r="D65" i="6"/>
  <c r="C65" i="6"/>
  <c r="M86" i="4"/>
  <c r="A69" i="6"/>
  <c r="M75" i="4"/>
  <c r="A59" i="6"/>
  <c r="F87" i="6"/>
  <c r="H87" i="6"/>
  <c r="H76" i="6"/>
  <c r="A107" i="6"/>
  <c r="M129" i="4"/>
  <c r="A58" i="6"/>
  <c r="M74" i="4"/>
  <c r="M111" i="4"/>
  <c r="A92" i="6"/>
  <c r="A47" i="6"/>
  <c r="M62" i="4"/>
  <c r="D64" i="6"/>
  <c r="C64" i="6"/>
  <c r="A106" i="6"/>
  <c r="M128" i="4"/>
  <c r="M63" i="4"/>
  <c r="A48" i="6"/>
  <c r="M99" i="4"/>
  <c r="A81" i="6"/>
  <c r="H75" i="6"/>
  <c r="F86" i="6"/>
  <c r="H86" i="6"/>
  <c r="M87" i="4"/>
  <c r="A70" i="6"/>
  <c r="H77" i="6"/>
  <c r="F88" i="6"/>
  <c r="H88" i="6"/>
  <c r="C75" i="6"/>
  <c r="D75" i="6"/>
  <c r="D76" i="6"/>
  <c r="C76" i="6"/>
  <c r="C86" i="6"/>
  <c r="D86" i="6"/>
  <c r="D87" i="6"/>
  <c r="C87" i="6"/>
  <c r="D88" i="6"/>
  <c r="C88" i="6"/>
  <c r="H125" i="6"/>
  <c r="D2"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<sst xmlns="http://schemas.openxmlformats.org/spreadsheetml/2006/main" count="28536" uniqueCount="20167">
  <si>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</si>
  <si>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</si>
  <si>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</si>
  <si>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</si>
  <si>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</si>
  <si>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</si>
  <si>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</si>
  <si>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</si>
  <si>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</si>
  <si>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</si>
  <si>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</si>
  <si>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</si>
  <si>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</si>
  <si>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</si>
  <si>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</si>
  <si>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</si>
  <si>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</si>
  <si>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</si>
  <si>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</si>
  <si>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</si>
  <si>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</si>
  <si>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</si>
  <si>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</si>
  <si>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</si>
  <si>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</si>
  <si>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</si>
  <si>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</si>
  <si>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</si>
  <si>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</si>
  <si>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</si>
  <si>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</si>
  <si>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</si>
  <si>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</si>
  <si>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</si>
  <si>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</si>
  <si>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</si>
  <si>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</si>
  <si>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</si>
  <si>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</si>
  <si>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</si>
  <si>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</si>
  <si>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</si>
  <si>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</si>
  <si>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</si>
  <si>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</si>
  <si>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</si>
  <si>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</si>
  <si>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</si>
  <si>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</si>
  <si>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</si>
  <si>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</si>
  <si>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</si>
  <si>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</si>
  <si>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</si>
  <si>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</si>
  <si>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</si>
  <si>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</si>
  <si>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</si>
  <si>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</si>
  <si>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</si>
  <si>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</si>
  <si>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</si>
  <si>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</si>
  <si>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</si>
  <si>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</si>
  <si>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</si>
  <si>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</si>
  <si>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</si>
  <si>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</si>
  <si>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</si>
  <si>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</si>
  <si>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</si>
  <si>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</si>
  <si>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</si>
  <si>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</si>
  <si>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</si>
  <si>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</si>
  <si>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</si>
  <si>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</si>
  <si>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</si>
  <si>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</si>
  <si>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</si>
  <si>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</si>
  <si>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</si>
  <si>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</si>
  <si>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</si>
  <si>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</si>
  <si>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</si>
  <si>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</si>
  <si>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</si>
  <si>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</si>
  <si>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</si>
  <si>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</si>
  <si>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</si>
  <si>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</si>
  <si>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</si>
  <si>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</si>
  <si>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</si>
  <si>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</si>
  <si>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</si>
  <si>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</si>
  <si>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</si>
  <si>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</si>
  <si>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</si>
  <si>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</si>
  <si>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</si>
  <si>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</si>
  <si>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</si>
  <si>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</si>
  <si>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</si>
  <si>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</si>
  <si>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</si>
  <si>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</si>
  <si>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</si>
  <si>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</si>
  <si>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</si>
  <si>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</si>
  <si>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</si>
  <si>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</si>
  <si>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</si>
  <si>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</si>
  <si>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</si>
  <si>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</si>
  <si>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</si>
  <si>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</si>
  <si>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</si>
  <si>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</si>
  <si>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</si>
  <si>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</si>
  <si>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</si>
  <si>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</si>
  <si>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</si>
  <si>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</si>
  <si>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</si>
  <si>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</si>
  <si>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</si>
  <si>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</si>
  <si>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</si>
  <si>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</si>
  <si>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</si>
  <si>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</si>
  <si>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</si>
  <si>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</si>
  <si>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</si>
  <si>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</si>
  <si>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</si>
  <si>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</si>
  <si>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</si>
  <si>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</si>
  <si>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</si>
  <si>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</si>
  <si>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</si>
  <si>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</si>
  <si>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</si>
  <si>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</si>
  <si>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</si>
  <si>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</si>
  <si>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</si>
  <si>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</si>
  <si>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</si>
  <si>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</si>
  <si>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</si>
  <si>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</si>
  <si>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</si>
  <si>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</si>
  <si>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</si>
  <si>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</si>
  <si>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</si>
  <si>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</si>
  <si>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</si>
  <si>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</si>
  <si>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</si>
  <si>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</si>
  <si>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</si>
  <si>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</si>
  <si>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</si>
  <si>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</si>
  <si>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</si>
  <si>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</si>
  <si>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</si>
  <si>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</si>
  <si>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</si>
  <si>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</si>
  <si>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</si>
  <si>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</si>
  <si>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</si>
  <si>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</si>
  <si>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</si>
  <si>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</si>
  <si>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</si>
  <si>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</si>
  <si>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</si>
  <si>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</si>
  <si>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</si>
  <si>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</si>
  <si>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</si>
  <si>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</si>
  <si>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</si>
  <si>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</si>
  <si>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</si>
  <si>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</si>
  <si>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</si>
  <si>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</si>
  <si>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</si>
  <si>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</si>
  <si>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</si>
  <si>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</si>
  <si>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</si>
  <si>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</si>
  <si>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</si>
  <si>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</si>
  <si>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</si>
  <si>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</si>
  <si>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</si>
  <si>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</si>
  <si>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</si>
  <si>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</si>
  <si>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</si>
  <si>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</si>
  <si>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</si>
  <si>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</si>
  <si>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</si>
  <si>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</si>
  <si>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</si>
  <si>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</si>
  <si>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</si>
  <si>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</si>
  <si>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</si>
  <si>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</si>
  <si>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</si>
  <si>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</si>
  <si>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</si>
  <si>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</si>
  <si>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</si>
  <si>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</si>
  <si>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</si>
  <si>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</si>
  <si>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</si>
  <si>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</si>
  <si>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</si>
  <si>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</si>
  <si>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</si>
  <si>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</si>
  <si>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</si>
  <si>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</si>
  <si>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</si>
  <si>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</si>
  <si>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</si>
  <si>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</si>
  <si>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</si>
  <si>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</si>
  <si>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</si>
  <si>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</si>
  <si>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</si>
  <si>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</si>
  <si>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</si>
  <si>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</si>
  <si>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</si>
  <si>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</si>
  <si>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</si>
  <si>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</si>
  <si>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</si>
  <si>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</si>
  <si>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</si>
  <si>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</si>
  <si>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</si>
  <si>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</si>
  <si>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</si>
  <si>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</si>
  <si>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</si>
  <si>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</si>
  <si>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</si>
  <si>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</si>
  <si>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</si>
  <si>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</si>
  <si>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</si>
  <si>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</si>
  <si>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</si>
  <si>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</si>
  <si>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</si>
  <si>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</si>
  <si>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</si>
  <si>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</si>
  <si>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</si>
  <si>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</si>
  <si>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</si>
  <si>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</si>
  <si>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</si>
  <si>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</si>
  <si>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</si>
  <si>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</si>
  <si>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</si>
  <si>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</si>
  <si>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</si>
  <si>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</si>
  <si>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</si>
  <si>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</si>
  <si>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</si>
  <si>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</si>
  <si>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</si>
  <si>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</si>
  <si>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</si>
  <si>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</si>
  <si>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</si>
  <si>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</si>
  <si>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</si>
  <si>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</si>
  <si>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</si>
  <si>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</si>
  <si>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</si>
  <si>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</si>
  <si>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</si>
  <si>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</si>
  <si>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</si>
  <si>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</si>
  <si>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</si>
  <si>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</si>
  <si>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</si>
  <si>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</si>
  <si>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</si>
  <si>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</si>
  <si>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</si>
  <si>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</si>
  <si>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</si>
  <si>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</si>
  <si>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</si>
  <si>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</si>
  <si>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</si>
  <si>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</si>
  <si>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</si>
  <si>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</si>
  <si>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</si>
  <si>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</si>
  <si>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</si>
  <si>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</si>
  <si>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</si>
  <si>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</si>
  <si>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</si>
  <si>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</si>
  <si>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</si>
  <si>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</si>
  <si>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</si>
  <si>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</si>
  <si>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</si>
  <si>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</si>
  <si>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</si>
  <si>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</si>
  <si>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</si>
  <si>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</si>
  <si>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</si>
  <si>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</si>
  <si>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</si>
  <si>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</si>
  <si>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</si>
  <si>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</si>
  <si>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</si>
  <si>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</si>
  <si>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</si>
  <si>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</si>
  <si>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</si>
  <si>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</si>
  <si>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</si>
  <si>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</si>
  <si>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</si>
  <si>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</si>
  <si>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</si>
  <si>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</si>
  <si>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</si>
  <si>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</si>
  <si>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</si>
  <si>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</si>
  <si>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</si>
  <si>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</si>
  <si>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</si>
  <si>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</si>
  <si>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</si>
  <si>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</si>
  <si>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</si>
  <si>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</si>
  <si>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</si>
  <si>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</si>
  <si>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</si>
  <si>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</si>
  <si>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</si>
  <si>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</si>
  <si>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</si>
  <si>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</si>
  <si>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</si>
  <si>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</si>
  <si>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</si>
  <si>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</si>
  <si>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</si>
  <si>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</si>
  <si>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</si>
  <si>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</si>
  <si>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</si>
  <si>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</si>
  <si>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</si>
  <si>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</si>
  <si>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</si>
  <si>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</si>
  <si>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</si>
  <si>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</si>
  <si>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</si>
  <si>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</si>
  <si>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</si>
  <si>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</si>
  <si>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</si>
  <si>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</si>
  <si>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</si>
  <si>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</si>
  <si>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</si>
  <si>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</si>
  <si>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</si>
  <si>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</si>
  <si>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</si>
  <si>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</si>
  <si>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</si>
  <si>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</si>
  <si>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</si>
  <si>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</si>
  <si>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</si>
  <si>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</si>
  <si>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</si>
  <si>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</si>
  <si>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</si>
  <si>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</si>
  <si>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</si>
  <si>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</si>
  <si>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</si>
  <si>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</si>
  <si>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</si>
  <si>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</si>
  <si>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</si>
  <si>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</si>
  <si>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</si>
  <si>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</si>
  <si>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</si>
  <si>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</si>
  <si>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</si>
  <si>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</si>
  <si>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</si>
  <si>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</si>
  <si>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</si>
  <si>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</si>
  <si>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</si>
  <si>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</si>
  <si>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</si>
  <si>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</si>
  <si>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</si>
  <si>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</si>
  <si>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</si>
  <si>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</si>
  <si>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</si>
  <si>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</si>
  <si>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</si>
  <si>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</si>
  <si>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</si>
  <si>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</si>
  <si>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</si>
  <si>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</si>
  <si>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</si>
  <si>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</si>
  <si>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</si>
  <si>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</si>
  <si>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</si>
  <si>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</si>
  <si>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</si>
  <si>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</si>
  <si>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</si>
  <si>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</si>
  <si>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</si>
  <si>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</si>
  <si>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</si>
  <si>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</si>
  <si>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</si>
  <si>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</si>
  <si>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</si>
  <si>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</si>
  <si>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</si>
  <si>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</si>
  <si>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</si>
  <si>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</si>
  <si>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</si>
  <si>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</si>
  <si>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</si>
  <si>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</si>
  <si>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</si>
  <si>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</si>
  <si>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</si>
  <si>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</si>
  <si>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</si>
  <si>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</si>
  <si>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</si>
  <si>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</si>
  <si>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</si>
  <si>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</si>
  <si>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</si>
  <si>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</si>
  <si>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</si>
  <si>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</si>
  <si>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</si>
  <si>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</si>
  <si>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</si>
  <si>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</si>
  <si>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</si>
  <si>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</si>
  <si>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</si>
  <si>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</si>
  <si>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</si>
  <si>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</si>
  <si>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</si>
  <si>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</si>
  <si>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</si>
  <si>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</si>
  <si>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</si>
  <si>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</si>
  <si>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</si>
  <si>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</si>
  <si>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</si>
  <si>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</si>
  <si>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</si>
  <si>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</si>
  <si>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</si>
  <si>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</si>
  <si>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</si>
  <si>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</si>
  <si>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</si>
  <si>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</si>
  <si>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</si>
  <si>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</si>
  <si>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</si>
  <si>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</si>
  <si>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</si>
  <si>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</si>
  <si>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</si>
  <si>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</si>
  <si>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</si>
  <si>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</si>
  <si>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</si>
  <si>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</si>
  <si>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</si>
  <si>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</si>
  <si>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</si>
  <si>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</si>
  <si>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</si>
  <si>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</si>
  <si>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</si>
  <si>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</si>
  <si>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</si>
  <si>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</si>
  <si>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</si>
  <si>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</si>
  <si>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</si>
  <si>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</si>
  <si>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</si>
  <si>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</si>
  <si>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</si>
  <si>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</si>
  <si>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</si>
  <si>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</si>
  <si>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</si>
  <si>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</si>
  <si>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</si>
  <si>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</si>
  <si>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</si>
  <si>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</si>
  <si>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</si>
  <si>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</si>
  <si>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</si>
  <si>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</si>
  <si>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</si>
  <si>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</si>
  <si>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</si>
  <si>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</si>
  <si>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</si>
  <si>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</si>
  <si>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</si>
  <si>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</si>
  <si>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</si>
  <si>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</si>
  <si>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</si>
  <si>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</si>
  <si>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</si>
  <si>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</si>
  <si>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</si>
  <si>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</si>
  <si>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</si>
  <si>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</si>
  <si>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</si>
  <si>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</si>
  <si>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</si>
  <si>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</si>
  <si>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</si>
  <si>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</si>
  <si>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</si>
  <si>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</si>
  <si>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</si>
  <si>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</si>
  <si>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</si>
  <si>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</si>
  <si>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</si>
  <si>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</si>
  <si>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</si>
  <si>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</si>
  <si>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</si>
  <si>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</si>
  <si>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</si>
  <si>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</si>
  <si>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</si>
  <si>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</si>
  <si>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</si>
  <si>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</si>
  <si>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</si>
  <si>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</si>
  <si>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</si>
  <si>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</si>
  <si>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</si>
  <si>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</si>
  <si>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</si>
  <si>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</si>
  <si>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</si>
  <si>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</si>
  <si>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</si>
  <si>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</si>
  <si>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</si>
  <si>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</si>
  <si>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</si>
  <si>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</si>
  <si>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</si>
  <si>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</si>
  <si>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</si>
  <si>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</si>
  <si>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</si>
  <si>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</si>
  <si>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</si>
  <si>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</si>
  <si>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</si>
  <si>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</si>
  <si>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</si>
  <si>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</si>
  <si>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</si>
  <si>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</si>
  <si>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</si>
  <si>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</si>
  <si>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</si>
  <si>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</si>
  <si>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</si>
  <si>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</si>
  <si>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</si>
  <si>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</si>
  <si>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</si>
  <si>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</si>
  <si>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</si>
  <si>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</si>
  <si>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</si>
  <si>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</si>
  <si>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</si>
  <si>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</si>
  <si>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</si>
  <si>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</si>
  <si>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</si>
  <si>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</si>
  <si>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</si>
  <si>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</si>
  <si>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</si>
  <si>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</si>
  <si>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</si>
  <si>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</si>
  <si>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</si>
  <si>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</si>
  <si>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</si>
  <si>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</si>
  <si>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</si>
  <si>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</si>
  <si>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</si>
  <si>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</si>
  <si>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</si>
  <si>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</si>
  <si>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</si>
  <si>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</si>
  <si>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</si>
  <si>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</si>
  <si>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</si>
  <si>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</si>
  <si>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</si>
  <si>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</si>
  <si>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</si>
  <si>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</si>
  <si>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</si>
  <si>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</si>
  <si>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</si>
  <si>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</si>
  <si>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</si>
  <si>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</si>
  <si>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</si>
  <si>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</si>
  <si>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</si>
  <si>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</si>
  <si>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</si>
  <si>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</si>
  <si>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</si>
  <si>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</si>
  <si>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</si>
  <si>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</si>
  <si>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</si>
  <si>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</si>
  <si>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</si>
  <si>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</si>
  <si>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</si>
  <si>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</si>
  <si>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</si>
  <si>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</si>
  <si>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</si>
  <si>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</si>
  <si>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</si>
  <si>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</si>
  <si>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</si>
  <si>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</si>
  <si>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</si>
  <si>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</si>
  <si>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</si>
  <si>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</si>
  <si>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</si>
  <si>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</si>
  <si>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</si>
  <si>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</si>
  <si>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</si>
  <si>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</si>
  <si>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</si>
  <si>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</si>
  <si>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</si>
  <si>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</si>
  <si>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</si>
  <si>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</si>
  <si>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</si>
  <si>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</si>
  <si>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</si>
  <si>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</si>
  <si>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</si>
  <si>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</si>
  <si>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</si>
  <si>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</si>
  <si>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</si>
  <si>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</si>
  <si>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</si>
  <si>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</si>
  <si>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</si>
  <si>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</si>
  <si>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</si>
  <si>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</si>
  <si>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</si>
  <si>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</si>
  <si>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</si>
  <si>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</si>
  <si>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</si>
  <si>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</si>
  <si>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</si>
  <si>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</si>
  <si>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</si>
  <si>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</si>
  <si>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</si>
  <si>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</si>
  <si>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</si>
  <si>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</si>
  <si>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</si>
  <si>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</si>
  <si>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</si>
  <si>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</si>
  <si>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</si>
  <si>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</si>
  <si>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</si>
  <si>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</si>
  <si>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</si>
  <si>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</si>
  <si>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</si>
  <si>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</si>
  <si>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</si>
  <si>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</si>
  <si>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</si>
  <si>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</si>
  <si>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</si>
  <si>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</si>
  <si>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</si>
  <si>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</si>
  <si>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</si>
  <si>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</si>
  <si>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</si>
  <si>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</si>
  <si>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</si>
  <si>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</si>
  <si>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</si>
  <si>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</si>
  <si>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</si>
  <si>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</si>
  <si>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</si>
  <si>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</si>
  <si>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</si>
  <si>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</si>
  <si>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</si>
  <si>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</si>
  <si>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</si>
  <si>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</si>
  <si>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</si>
  <si>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</si>
  <si>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</si>
  <si>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</si>
  <si>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</si>
  <si>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</si>
  <si>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</si>
  <si>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</si>
  <si>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</si>
  <si>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</si>
  <si>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</si>
  <si>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</si>
  <si>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</si>
  <si>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</si>
  <si>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</si>
  <si>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</si>
  <si>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</si>
  <si>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</si>
  <si>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</si>
  <si>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</si>
  <si>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</si>
  <si>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</si>
  <si>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</si>
  <si>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</si>
  <si>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</si>
  <si>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</si>
  <si>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</si>
  <si>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</si>
  <si>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</si>
  <si>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</si>
  <si>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</si>
  <si>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</si>
  <si>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</si>
  <si>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</si>
  <si>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</si>
  <si>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</si>
  <si>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</si>
  <si>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</si>
  <si>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</si>
  <si>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</si>
  <si>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</si>
  <si>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</si>
  <si>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</si>
  <si>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</si>
  <si>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</si>
  <si>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</si>
  <si>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</si>
  <si>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</si>
  <si>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</si>
  <si>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</si>
  <si>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</si>
  <si>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</si>
  <si>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</si>
  <si>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</si>
  <si>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</si>
  <si>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</si>
  <si>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</si>
  <si>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</si>
  <si>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</si>
  <si>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</si>
  <si>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</si>
  <si>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</si>
  <si>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</si>
  <si>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</si>
  <si>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</si>
  <si>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</si>
  <si>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</si>
  <si>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</si>
  <si>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</si>
  <si>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</si>
  <si>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</si>
  <si>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</si>
  <si>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</si>
  <si>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</si>
  <si>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</si>
  <si>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</si>
  <si>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</si>
  <si>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</si>
  <si>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</si>
  <si>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</si>
  <si>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</si>
  <si>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</si>
  <si>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</si>
  <si>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</si>
  <si>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</si>
  <si>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</si>
  <si>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</si>
  <si>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</si>
  <si>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</si>
  <si>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</si>
  <si>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</si>
  <si>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</si>
  <si>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</si>
  <si>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</si>
  <si>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</si>
  <si>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</si>
  <si>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</si>
  <si>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</si>
  <si>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</si>
  <si>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</si>
  <si>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</si>
  <si>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</si>
  <si>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</si>
  <si>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</si>
  <si>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</si>
  <si>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</si>
  <si>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</si>
  <si>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</si>
  <si>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</si>
  <si>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</si>
  <si>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</si>
  <si>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</si>
  <si>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</si>
  <si>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</si>
  <si>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</si>
  <si>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</si>
  <si>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</si>
  <si>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</si>
  <si>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</si>
  <si>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</si>
  <si>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</si>
  <si>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</si>
  <si>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</si>
  <si>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</si>
  <si>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</si>
  <si>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</si>
  <si>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</si>
  <si>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</si>
  <si>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</si>
  <si>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</si>
  <si>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</si>
  <si>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</si>
  <si>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</si>
  <si>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</si>
  <si>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</si>
  <si>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</si>
  <si>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</si>
  <si>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</si>
  <si>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</si>
  <si>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</si>
  <si>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</si>
  <si>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</si>
  <si>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</si>
  <si>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</si>
  <si>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</si>
  <si>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</si>
  <si>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</si>
  <si>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</si>
  <si>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</si>
  <si>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</si>
  <si>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</si>
  <si>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</si>
  <si>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</si>
  <si>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</si>
  <si>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</si>
  <si>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</si>
  <si>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</si>
  <si>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</si>
  <si>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</si>
  <si>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</si>
  <si>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</si>
  <si>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</si>
  <si>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</si>
  <si>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</si>
  <si>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</si>
  <si>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</si>
  <si>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</si>
  <si>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</si>
  <si>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</si>
  <si>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</si>
  <si>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</si>
  <si>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</si>
  <si>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</si>
  <si>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</si>
  <si>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</si>
  <si>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</si>
  <si>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</si>
  <si>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</si>
  <si>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</si>
  <si>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</si>
  <si>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</si>
  <si>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</si>
  <si>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</si>
  <si>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</si>
  <si>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</si>
  <si>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</si>
  <si>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</si>
  <si>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</si>
  <si>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</si>
  <si>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</si>
  <si>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</si>
  <si>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</si>
  <si>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</si>
  <si>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</si>
  <si>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</si>
  <si>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</si>
  <si>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</si>
  <si>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</si>
  <si>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</si>
  <si>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</si>
  <si>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</si>
  <si>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</si>
  <si>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</si>
  <si>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</si>
  <si>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</si>
  <si>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</si>
  <si>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</si>
  <si>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</si>
  <si>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</si>
  <si>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</si>
  <si>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</si>
  <si>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</si>
  <si>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</si>
  <si>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</si>
  <si>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</si>
  <si>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</si>
  <si>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</si>
  <si>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</si>
  <si>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</si>
  <si>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</si>
  <si>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</si>
  <si>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</si>
  <si>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</si>
  <si>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</si>
  <si>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</si>
  <si>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</si>
  <si>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</si>
  <si>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</si>
  <si>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</si>
  <si>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</si>
  <si>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</si>
  <si>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</si>
  <si>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</si>
  <si>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</si>
  <si>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</si>
  <si>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</si>
  <si>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</si>
  <si>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</si>
  <si>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</si>
  <si>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</si>
  <si>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</si>
  <si>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</si>
  <si>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</si>
  <si>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</si>
  <si>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</si>
  <si>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</si>
  <si>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</si>
  <si>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</si>
  <si>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</si>
  <si>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</si>
  <si>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</si>
  <si>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</si>
  <si>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</si>
  <si>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</si>
  <si>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</si>
  <si>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</si>
  <si>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</si>
  <si>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</si>
  <si>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</si>
  <si>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</si>
  <si>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</si>
  <si>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</si>
  <si>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</si>
  <si>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</si>
  <si>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</si>
  <si>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</si>
  <si>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</si>
  <si>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</si>
  <si>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</si>
  <si>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</si>
  <si>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</si>
  <si>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</si>
  <si>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</si>
  <si>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</si>
  <si>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</si>
  <si>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</si>
  <si>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</si>
  <si>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</si>
  <si>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</si>
  <si>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</si>
  <si>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</si>
  <si>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</si>
  <si>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</si>
  <si>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</si>
  <si>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</si>
  <si>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</si>
  <si>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</si>
  <si>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</si>
  <si>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</si>
  <si>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</si>
  <si>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</si>
  <si>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</si>
  <si>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</si>
  <si>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</si>
  <si>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</si>
  <si>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</si>
  <si>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</si>
  <si>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</si>
  <si>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</si>
  <si>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</si>
  <si>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</si>
  <si>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</si>
  <si>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</si>
  <si>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</si>
  <si>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</si>
  <si>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</si>
  <si>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</si>
  <si>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</si>
  <si>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</si>
  <si>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</si>
  <si>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</si>
  <si>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</si>
  <si>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</si>
  <si>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</si>
  <si>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</si>
  <si>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</si>
  <si>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</si>
  <si>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</si>
  <si>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</si>
  <si>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</si>
  <si>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</si>
  <si>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</si>
  <si>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</si>
  <si>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</si>
  <si>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</si>
  <si>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</si>
  <si>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</si>
  <si>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</si>
  <si>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</si>
  <si>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</si>
  <si>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</si>
  <si>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</si>
  <si>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</si>
  <si>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</si>
  <si>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</si>
  <si>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</si>
  <si>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</si>
  <si>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</si>
  <si>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</si>
  <si>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</si>
  <si>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</si>
  <si>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</si>
  <si>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</si>
  <si>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</si>
  <si>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</si>
  <si>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</si>
  <si>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</si>
  <si>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</si>
  <si>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</si>
  <si>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</si>
  <si>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</si>
  <si>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</si>
  <si>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</si>
  <si>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</si>
  <si>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</si>
  <si>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</si>
  <si>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</si>
  <si>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</si>
  <si>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</si>
  <si>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</si>
  <si>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</si>
  <si>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</si>
  <si>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</si>
  <si>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</si>
  <si>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</si>
  <si>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</si>
  <si>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</si>
  <si>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</si>
  <si>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</si>
  <si>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</si>
  <si>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</si>
  <si>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</si>
  <si>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</si>
  <si>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</si>
  <si>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</si>
  <si>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</si>
  <si>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</si>
  <si>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</si>
  <si>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</si>
  <si>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</si>
  <si>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</si>
  <si>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</si>
  <si>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</si>
  <si>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</si>
  <si>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</si>
  <si>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</si>
  <si>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</si>
  <si>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</si>
  <si>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</si>
  <si>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</si>
  <si>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</si>
  <si>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</si>
  <si>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</si>
  <si>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</si>
  <si>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</si>
  <si>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</si>
  <si>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</si>
  <si>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</si>
  <si>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</si>
  <si>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</si>
  <si>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</si>
  <si>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</si>
  <si>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</si>
  <si>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</si>
  <si>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</si>
  <si>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</si>
  <si>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</si>
  <si>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</si>
  <si>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</si>
  <si>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</si>
  <si>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</si>
  <si>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</si>
  <si>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</si>
  <si>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</si>
  <si>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</si>
  <si>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</si>
  <si>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</si>
  <si>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</si>
  <si>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</si>
  <si>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</si>
  <si>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</si>
  <si>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</si>
  <si>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</si>
  <si>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</si>
  <si>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</si>
  <si>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</si>
  <si>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</si>
  <si>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</si>
  <si>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</si>
  <si>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</si>
  <si>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</si>
  <si>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</si>
  <si>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</si>
  <si>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</si>
  <si>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</si>
  <si>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</si>
  <si>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</si>
  <si>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</si>
  <si>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</si>
  <si>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</si>
  <si>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</si>
  <si>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</si>
  <si>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</si>
  <si>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</si>
  <si>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</si>
  <si>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</si>
  <si>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</si>
  <si>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</si>
  <si>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</si>
  <si>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</si>
  <si>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</si>
  <si>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</si>
  <si>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</si>
  <si>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</si>
  <si>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</si>
  <si>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</si>
  <si>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</si>
  <si>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</si>
  <si>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</si>
  <si>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</si>
  <si>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</si>
  <si>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</si>
  <si>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</si>
  <si>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</si>
  <si>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</si>
  <si>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</si>
  <si>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</si>
  <si>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</si>
  <si>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</si>
  <si>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</si>
  <si>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</si>
  <si>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</si>
  <si>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</si>
  <si>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</si>
  <si>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</si>
  <si>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</si>
  <si>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</si>
  <si>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</si>
  <si>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</si>
  <si>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</si>
  <si>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</si>
  <si>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</si>
  <si>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</si>
  <si>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</si>
  <si>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</si>
  <si>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</si>
  <si>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</si>
  <si>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</si>
  <si>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</si>
  <si>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</si>
  <si>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</si>
  <si>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</si>
  <si>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</si>
  <si>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</si>
  <si>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</si>
  <si>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</si>
  <si>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</si>
  <si>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</si>
  <si>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</si>
  <si>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</si>
  <si>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</si>
  <si>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</si>
  <si>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</si>
  <si>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</si>
  <si>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</si>
  <si>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</si>
  <si>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</si>
  <si>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</si>
  <si>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</si>
  <si>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</si>
  <si>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</si>
  <si>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</si>
  <si>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</si>
  <si>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</si>
  <si>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</si>
  <si>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</si>
  <si>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</si>
  <si>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</si>
  <si>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</si>
  <si>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</si>
  <si>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</si>
  <si>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</si>
  <si>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</si>
  <si>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</si>
  <si>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</si>
  <si>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</si>
  <si>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</si>
  <si>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</si>
  <si>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</si>
  <si>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</si>
  <si>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</si>
  <si>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</si>
  <si>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</si>
  <si>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</si>
  <si>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</si>
  <si>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</si>
  <si>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</si>
  <si>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</si>
  <si>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</si>
  <si>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</si>
  <si>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</si>
  <si>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</si>
  <si>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</si>
  <si>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</si>
  <si>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</si>
  <si>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</si>
  <si>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</si>
  <si>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</si>
  <si>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</si>
  <si>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</si>
  <si>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</si>
  <si>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</si>
  <si>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</si>
  <si>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</si>
  <si>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</si>
  <si>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</si>
  <si>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</si>
  <si>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</si>
  <si>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</si>
  <si>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</si>
  <si>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</si>
  <si>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</si>
  <si>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</si>
  <si>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</si>
  <si>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</si>
  <si>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</si>
  <si>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</si>
  <si>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</si>
  <si>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</si>
  <si>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</si>
  <si>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</si>
  <si>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</si>
  <si>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</si>
  <si>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</si>
  <si>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</si>
  <si>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</si>
  <si>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</si>
  <si>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</si>
  <si>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</si>
  <si>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</si>
  <si>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</si>
  <si>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</si>
  <si>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</si>
  <si>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</si>
  <si>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</si>
  <si>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</si>
  <si>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</si>
  <si>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</si>
  <si>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</si>
  <si>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</si>
  <si>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</si>
  <si>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</si>
  <si>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</si>
  <si>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</si>
  <si>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</si>
  <si>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</si>
  <si>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</si>
  <si>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</si>
  <si>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</si>
  <si>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</si>
  <si>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</si>
  <si>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</si>
  <si>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</si>
  <si>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</si>
  <si>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</si>
  <si>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</si>
  <si>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</si>
  <si>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</si>
  <si>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</si>
  <si>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</si>
  <si>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</si>
  <si>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</si>
  <si>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</si>
  <si>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</si>
  <si>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</si>
  <si>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</si>
  <si>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</si>
  <si>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</si>
  <si>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</si>
  <si>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</si>
  <si>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</si>
  <si>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</si>
  <si>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</si>
  <si>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</si>
  <si>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</si>
  <si>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</si>
  <si>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</si>
  <si>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</si>
  <si>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</si>
  <si>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</si>
  <si>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</si>
  <si>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</si>
  <si>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</si>
  <si>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</si>
  <si>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</si>
  <si>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</si>
  <si>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</si>
  <si>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</si>
  <si>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</si>
  <si>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</si>
  <si>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</si>
  <si>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</si>
  <si>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</si>
  <si>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</si>
  <si>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</si>
  <si>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</si>
  <si>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</si>
  <si>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</si>
  <si>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</si>
  <si>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</si>
  <si>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</si>
  <si>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</si>
  <si>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</si>
  <si>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</si>
  <si>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</si>
  <si>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</si>
  <si>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</si>
  <si>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</si>
  <si>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</si>
  <si>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</si>
  <si>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</si>
  <si>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</si>
  <si>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</si>
  <si>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</si>
  <si>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</si>
  <si>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</si>
  <si>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</si>
  <si>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</si>
  <si>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</si>
  <si>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</si>
  <si>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</si>
  <si>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</si>
  <si>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</si>
  <si>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</si>
  <si>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</si>
  <si>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</si>
  <si>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</si>
  <si>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</si>
  <si>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</si>
  <si>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</si>
  <si>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</si>
  <si>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</si>
  <si>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</si>
  <si>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</si>
  <si>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</si>
  <si>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</si>
  <si>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</si>
  <si>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</si>
  <si>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</si>
  <si>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</si>
  <si>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</si>
  <si>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</si>
  <si>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</si>
  <si>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</si>
  <si>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</si>
  <si>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</si>
  <si>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</si>
  <si>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</si>
  <si>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</si>
  <si>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</si>
  <si>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</si>
  <si>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</si>
  <si>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</si>
  <si>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</si>
  <si>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</si>
  <si>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</si>
  <si>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</si>
  <si>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</si>
  <si>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</si>
  <si>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</si>
  <si>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</si>
  <si>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</si>
  <si>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</si>
  <si>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</si>
  <si>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</si>
  <si>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</si>
  <si>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</si>
  <si>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</si>
  <si>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</si>
  <si>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</si>
  <si>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</si>
  <si>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</si>
  <si>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</si>
  <si>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</si>
  <si>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</si>
  <si>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</si>
  <si>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</si>
  <si>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</si>
  <si>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</si>
  <si>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</si>
  <si>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</si>
  <si>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</si>
  <si>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</si>
  <si>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</si>
  <si>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</si>
  <si>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</si>
  <si>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</si>
  <si>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</si>
  <si>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</si>
  <si>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</si>
  <si>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</si>
  <si>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</si>
  <si>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</si>
  <si>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</si>
  <si>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</si>
  <si>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</si>
  <si>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</si>
  <si>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</si>
  <si>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</si>
  <si>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</si>
  <si>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</si>
  <si>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</si>
  <si>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</si>
  <si>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</si>
  <si>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</si>
  <si>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</si>
  <si>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</si>
  <si>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</si>
  <si>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</si>
  <si>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</si>
  <si>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</si>
  <si>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</si>
  <si>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</si>
  <si>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</si>
  <si>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</si>
  <si>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</si>
  <si>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</si>
  <si>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</si>
  <si>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</si>
  <si>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</si>
  <si>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</si>
  <si>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</si>
  <si>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</si>
  <si>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</si>
  <si>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</si>
  <si>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</si>
  <si>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</si>
  <si>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</si>
  <si>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</si>
  <si>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</si>
  <si>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</si>
  <si>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</si>
  <si>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</si>
  <si>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</si>
  <si>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</si>
  <si>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</si>
  <si>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</si>
  <si>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</si>
  <si>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</si>
  <si>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</si>
  <si>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</si>
  <si>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</si>
  <si>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</si>
  <si>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</si>
  <si>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</si>
  <si>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</si>
  <si>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</si>
  <si>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</si>
  <si>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</si>
  <si>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</si>
  <si>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</si>
  <si>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</si>
  <si>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</si>
  <si>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</si>
  <si>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</si>
  <si>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</si>
  <si>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</si>
  <si>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</si>
  <si>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</si>
  <si>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</si>
  <si>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</si>
  <si>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</si>
  <si>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</si>
  <si>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</si>
  <si>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</si>
  <si>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</si>
  <si>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</si>
  <si>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</si>
  <si>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</si>
  <si>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</si>
  <si>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</si>
  <si>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</si>
  <si>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</si>
  <si>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</si>
  <si>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</si>
  <si>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</si>
  <si>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</si>
  <si>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</si>
  <si>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</si>
  <si>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</si>
  <si>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</si>
  <si>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</si>
  <si>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</si>
  <si>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</si>
  <si>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</si>
  <si>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</si>
  <si>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</si>
  <si>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</si>
  <si>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</si>
  <si>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</si>
  <si>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</si>
  <si>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</si>
  <si>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</si>
  <si>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</si>
  <si>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</si>
  <si>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</si>
  <si>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</si>
  <si>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</si>
  <si>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</si>
  <si>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</si>
  <si>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</si>
  <si>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</si>
  <si>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</si>
  <si>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</si>
  <si>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</si>
  <si>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</si>
  <si>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</si>
  <si>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</si>
  <si>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</si>
  <si>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</si>
  <si>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</si>
  <si>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</si>
  <si>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</si>
  <si>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</si>
  <si>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</si>
  <si>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</si>
  <si>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</si>
  <si>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</si>
  <si>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</si>
  <si>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</si>
  <si>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</si>
  <si>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</si>
  <si>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</si>
  <si>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</si>
  <si>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</si>
  <si>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</si>
  <si>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</si>
  <si>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</si>
  <si>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</si>
  <si>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</si>
  <si>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</si>
  <si>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</si>
  <si>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</si>
  <si>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</si>
  <si>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</si>
  <si>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</si>
  <si>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</si>
  <si>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</si>
  <si>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</si>
  <si>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</si>
  <si>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</si>
  <si>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</si>
  <si>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</si>
  <si>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</si>
  <si>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</si>
  <si>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</si>
  <si>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</si>
  <si>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</si>
  <si>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</si>
  <si>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</si>
  <si>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</si>
  <si>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</si>
  <si>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</si>
  <si>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</si>
  <si>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</si>
  <si>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</si>
  <si>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</si>
  <si>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</si>
  <si>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</si>
  <si>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</si>
  <si>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</si>
  <si>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</si>
  <si>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</si>
  <si>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</si>
  <si>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</si>
  <si>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</si>
  <si>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</si>
  <si>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</si>
  <si>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</si>
  <si>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</si>
  <si>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</si>
  <si>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</si>
  <si>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</si>
  <si>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</si>
  <si>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</si>
  <si>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</si>
  <si>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</si>
  <si>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</si>
  <si>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</si>
  <si>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</si>
  <si>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</si>
  <si>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</si>
  <si>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</si>
  <si>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</si>
  <si>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</si>
  <si>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</si>
  <si>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</si>
  <si>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</si>
  <si>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</si>
  <si>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</si>
  <si>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</si>
  <si>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</si>
  <si>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</si>
  <si>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</si>
  <si>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</si>
  <si>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</si>
  <si>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</si>
  <si>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</si>
  <si>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</si>
  <si>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</si>
  <si>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</si>
  <si>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</si>
  <si>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</si>
  <si>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</si>
  <si>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</si>
  <si>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</si>
  <si>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</si>
  <si>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</si>
  <si>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</si>
  <si>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</si>
  <si>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</si>
  <si>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</si>
  <si>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</si>
  <si>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</si>
  <si>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</si>
  <si>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</si>
  <si>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</si>
  <si>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</si>
  <si>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</si>
  <si>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</si>
  <si>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</si>
  <si>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</si>
  <si>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</si>
  <si>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</si>
  <si>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</si>
  <si>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</si>
  <si>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</si>
  <si>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</si>
  <si>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</si>
  <si>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</si>
  <si>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</si>
  <si>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</si>
  <si>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</si>
  <si>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</si>
  <si>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</si>
  <si>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</si>
  <si>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</si>
  <si>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</si>
  <si>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</si>
  <si>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</si>
  <si>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</si>
  <si>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</si>
  <si>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</si>
  <si>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</si>
  <si>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</si>
  <si>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</si>
  <si>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</si>
  <si>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</si>
  <si>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</si>
  <si>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</si>
  <si>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</si>
  <si>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</si>
  <si>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</si>
  <si>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</si>
  <si>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</si>
  <si>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</si>
  <si>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</si>
  <si>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</si>
  <si>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</si>
  <si>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</si>
  <si>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</si>
  <si>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</si>
  <si>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</si>
  <si>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</si>
  <si>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</si>
  <si>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</si>
  <si>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</si>
  <si>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</si>
  <si>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</si>
  <si>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</si>
  <si>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</si>
  <si>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</si>
  <si>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</si>
  <si>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</si>
  <si>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</si>
  <si>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</si>
  <si>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</si>
  <si>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</si>
  <si>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</si>
  <si>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</si>
  <si>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</si>
  <si>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</si>
  <si>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</si>
  <si>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</si>
  <si>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</si>
  <si>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</si>
  <si>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</si>
  <si>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</si>
  <si>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</si>
  <si>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</si>
  <si>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</si>
  <si>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</si>
  <si>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</si>
  <si>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</si>
  <si>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</si>
  <si>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</si>
  <si>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</si>
  <si>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</si>
  <si>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</si>
  <si>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</si>
  <si>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</si>
  <si>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</si>
  <si>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</si>
  <si>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</si>
  <si>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</si>
  <si>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</si>
  <si>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</si>
  <si>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</si>
  <si>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</si>
  <si>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</si>
  <si>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</si>
  <si>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</si>
  <si>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</si>
  <si>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</si>
  <si>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</si>
  <si>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</si>
  <si>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</si>
  <si>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</si>
  <si>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</si>
  <si>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</si>
  <si>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</si>
  <si>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</si>
  <si>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</si>
  <si>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</si>
  <si>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</si>
  <si>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</si>
  <si>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</si>
  <si>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</si>
  <si>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</si>
  <si>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</si>
  <si>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</si>
  <si>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</si>
  <si>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</si>
  <si>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</si>
  <si>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</si>
  <si>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</si>
  <si>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</si>
  <si>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</si>
  <si>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</si>
  <si>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</si>
  <si>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</si>
  <si>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</si>
  <si>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</si>
  <si>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</si>
  <si>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</si>
  <si>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</si>
  <si>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</si>
  <si>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</si>
  <si>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</si>
  <si>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</si>
  <si>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</si>
  <si>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</si>
  <si>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</si>
  <si>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</si>
  <si>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</si>
  <si>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</si>
  <si>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</si>
  <si>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</si>
  <si>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</si>
  <si>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</si>
  <si>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</si>
  <si>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</si>
  <si>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</si>
  <si>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</si>
  <si>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</si>
  <si>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</si>
  <si>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</si>
  <si>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</si>
  <si>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</si>
  <si>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</si>
  <si>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</si>
  <si>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</si>
  <si>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</si>
  <si>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</si>
  <si>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</si>
  <si>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</si>
  <si>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</si>
  <si>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</si>
  <si>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</si>
  <si>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</si>
  <si>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</si>
  <si>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</si>
  <si>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</si>
  <si>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</si>
  <si>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</si>
  <si>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</si>
  <si>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</si>
  <si>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</si>
  <si>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</si>
  <si>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</si>
  <si>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</si>
  <si>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</si>
  <si>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</si>
  <si>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</si>
  <si>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</si>
  <si>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</si>
  <si>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</si>
  <si>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</si>
  <si>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</si>
  <si>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</si>
  <si>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</si>
  <si>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</si>
  <si>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</si>
  <si>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</si>
  <si>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</si>
  <si>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</si>
  <si>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</si>
  <si>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</si>
  <si>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</si>
  <si>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</si>
  <si>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</si>
  <si>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</si>
  <si>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</si>
  <si>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</si>
  <si>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</si>
  <si>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</si>
  <si>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</si>
  <si>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</si>
  <si>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</si>
  <si>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</si>
  <si>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</si>
  <si>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</si>
  <si>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</si>
  <si>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</si>
  <si>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</si>
  <si>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</si>
  <si>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</si>
  <si>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</si>
  <si>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</si>
  <si>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</si>
  <si>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</si>
  <si>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</si>
  <si>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</si>
  <si>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</si>
  <si>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</si>
  <si>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</si>
  <si>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</si>
  <si>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</si>
  <si>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</si>
  <si>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</si>
  <si>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</si>
  <si>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</si>
  <si>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</si>
  <si>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</si>
  <si>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</si>
  <si>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</si>
  <si>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</si>
  <si>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</si>
  <si>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</si>
  <si>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</si>
  <si>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</si>
  <si>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</si>
  <si>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</si>
  <si>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</si>
  <si>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</si>
  <si>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</si>
  <si>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</si>
  <si>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</si>
  <si>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</si>
  <si>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</si>
  <si>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</si>
  <si>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</si>
  <si>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</si>
  <si>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</si>
  <si>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</si>
  <si>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</si>
  <si>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</si>
  <si>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</si>
  <si>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</si>
  <si>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</si>
  <si>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</si>
  <si>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</si>
  <si>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</si>
  <si>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</si>
  <si>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</si>
  <si>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</si>
  <si>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</si>
  <si>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</si>
  <si>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</si>
  <si>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</si>
  <si>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</si>
  <si>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</si>
  <si>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</si>
  <si>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</si>
  <si>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</si>
  <si>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</si>
  <si>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</si>
  <si>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</si>
  <si>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</si>
  <si>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</si>
  <si>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</si>
  <si>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</si>
  <si>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</si>
  <si>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</si>
  <si>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</si>
  <si>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</si>
  <si>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</si>
  <si>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</si>
  <si>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</si>
  <si>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</si>
  <si>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</si>
  <si>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</si>
  <si>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</si>
  <si>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</si>
  <si>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</si>
  <si>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</si>
  <si>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</si>
  <si>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</si>
  <si>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</si>
  <si>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</si>
  <si>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</si>
  <si>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</si>
  <si>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</si>
  <si>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</si>
  <si>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</si>
  <si>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</si>
  <si>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</si>
  <si>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</si>
  <si>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</si>
  <si>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</si>
  <si>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</si>
  <si>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</si>
  <si>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</si>
  <si>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</si>
  <si>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</si>
  <si>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</si>
  <si>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</si>
  <si>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</si>
  <si>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</si>
  <si>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</si>
  <si>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</si>
  <si>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</si>
  <si>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</si>
  <si>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</si>
  <si>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</si>
  <si>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</si>
  <si>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</si>
  <si>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</si>
  <si>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</si>
  <si>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</si>
  <si>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</si>
  <si>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</si>
  <si>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</si>
  <si>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</si>
  <si>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</si>
  <si>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</si>
  <si>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</si>
  <si>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</si>
  <si>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</si>
  <si>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</si>
  <si>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</si>
  <si>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</si>
  <si>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</si>
  <si>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</si>
  <si>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</si>
  <si>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</si>
  <si>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</si>
  <si>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</si>
  <si>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</si>
  <si>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</si>
  <si>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</si>
  <si>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</si>
  <si>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</si>
  <si>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</si>
  <si>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</si>
  <si>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</si>
  <si>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</si>
  <si>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</si>
  <si>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</si>
  <si>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</si>
  <si>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</si>
  <si>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</si>
  <si>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</si>
  <si>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</si>
  <si>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</si>
  <si>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</si>
  <si>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</si>
  <si>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</si>
  <si>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</si>
  <si>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</si>
  <si>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</si>
  <si>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</si>
  <si>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</si>
  <si>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</si>
  <si>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</si>
  <si>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</si>
  <si>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</si>
  <si>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</si>
  <si>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</si>
  <si>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</si>
  <si>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</si>
  <si>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</si>
  <si>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</si>
  <si>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</si>
  <si>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</si>
  <si>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</si>
  <si>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</si>
  <si>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</si>
  <si>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</si>
  <si>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</si>
  <si>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</si>
  <si>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</si>
  <si>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</si>
  <si>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</si>
  <si>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</si>
  <si>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</si>
  <si>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</si>
  <si>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</si>
  <si>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</si>
  <si>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</si>
  <si>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</si>
  <si>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</si>
  <si>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</si>
  <si>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</si>
  <si>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</si>
  <si>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</si>
  <si>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</si>
  <si>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</si>
  <si>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</si>
  <si>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</si>
  <si>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</si>
  <si>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</si>
  <si>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</si>
  <si>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</si>
  <si>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</si>
  <si>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</si>
  <si>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</si>
  <si>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</si>
  <si>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</si>
  <si>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</si>
  <si>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</si>
  <si>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</si>
  <si>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</si>
  <si>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</si>
  <si>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</si>
  <si>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</si>
  <si>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</si>
  <si>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</si>
  <si>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</si>
  <si>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</si>
  <si>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</si>
  <si>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</si>
  <si>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</si>
  <si>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</si>
  <si>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</si>
  <si>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</si>
  <si>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</si>
  <si>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</si>
  <si>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</si>
  <si>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</si>
  <si>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</si>
  <si>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</si>
  <si>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</si>
  <si>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</si>
  <si>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</si>
  <si>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</si>
  <si>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</si>
  <si>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</si>
  <si>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</si>
  <si>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</si>
  <si>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</si>
  <si>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</si>
  <si>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</si>
  <si>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</si>
  <si>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</si>
  <si>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</si>
  <si>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</si>
  <si>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</si>
  <si>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</si>
  <si>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</si>
  <si>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</si>
  <si>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</si>
  <si>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</si>
  <si>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</si>
  <si>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</si>
  <si>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</si>
  <si>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</si>
  <si>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</si>
  <si>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</si>
  <si>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</si>
  <si>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</si>
  <si>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</si>
  <si>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</si>
  <si>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</si>
  <si>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</si>
  <si>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</si>
  <si>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</si>
  <si>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</si>
  <si>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</si>
  <si>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</si>
  <si>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</si>
  <si>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</si>
  <si>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</si>
  <si>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</si>
  <si>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</si>
  <si>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</si>
  <si>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</si>
  <si>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</si>
  <si>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</si>
  <si>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</si>
  <si>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</si>
  <si>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</si>
  <si>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</si>
  <si>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</si>
  <si>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</si>
  <si>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</si>
  <si>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</si>
  <si>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</si>
  <si>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</si>
  <si>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</si>
  <si>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</si>
  <si>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</si>
  <si>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</si>
  <si>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</si>
  <si>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</si>
  <si>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</si>
  <si>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</si>
  <si>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</si>
  <si>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</si>
  <si>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</si>
  <si>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</si>
  <si>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</si>
  <si>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</si>
  <si>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</si>
  <si>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</si>
  <si>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</si>
  <si>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</si>
  <si>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</si>
  <si>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</si>
  <si>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</si>
  <si>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</si>
  <si>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</si>
  <si>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</si>
  <si>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</si>
  <si>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</si>
  <si>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</si>
  <si>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</si>
  <si>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</si>
  <si>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</si>
  <si>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</si>
  <si>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</si>
  <si>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</si>
  <si>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</si>
  <si>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</si>
  <si>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</si>
  <si>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</si>
  <si>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</si>
  <si>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</si>
  <si>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</si>
  <si>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</si>
  <si>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</si>
  <si>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</si>
  <si>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</si>
  <si>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</si>
  <si>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</si>
  <si>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</si>
  <si>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</si>
  <si>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</si>
  <si>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</si>
  <si>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</si>
  <si>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</si>
  <si>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</si>
  <si>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</si>
  <si>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</si>
  <si>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</si>
  <si>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</si>
  <si>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</si>
  <si>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</si>
  <si>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</si>
  <si>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</si>
  <si>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</si>
  <si>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</si>
  <si>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</si>
  <si>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</si>
  <si>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</si>
  <si>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</si>
  <si>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</si>
  <si>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</si>
  <si>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</si>
  <si>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</si>
  <si>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</si>
  <si>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</si>
  <si>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</si>
  <si>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</si>
  <si>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</si>
  <si>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</si>
  <si>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</si>
  <si>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</si>
  <si>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</si>
  <si>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</si>
  <si>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</si>
  <si>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</si>
  <si>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</si>
  <si>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</si>
  <si>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</si>
  <si>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</si>
  <si>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</si>
  <si>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</si>
  <si>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</si>
  <si>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</si>
  <si>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</si>
  <si>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</si>
  <si>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</si>
  <si>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</si>
  <si>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</si>
  <si>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</si>
  <si>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</si>
  <si>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</si>
  <si>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</si>
  <si>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</si>
  <si>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</si>
  <si>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</si>
  <si>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</si>
  <si>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</si>
  <si>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</si>
  <si>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</si>
  <si>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</si>
  <si>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</si>
  <si>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</si>
  <si>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</si>
  <si>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</si>
  <si>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</si>
  <si>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</si>
  <si>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</si>
  <si>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</si>
  <si>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</si>
  <si>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</si>
  <si>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</si>
  <si>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</si>
  <si>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</si>
  <si>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</si>
  <si>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</si>
  <si>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</si>
  <si>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</si>
  <si>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</si>
  <si>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</si>
  <si>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</si>
  <si>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</si>
  <si>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</si>
  <si>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</si>
  <si>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</si>
  <si>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</si>
  <si>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</si>
  <si>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</si>
  <si>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</si>
  <si>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</si>
  <si>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</si>
  <si>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</si>
  <si>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</si>
  <si>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</si>
  <si>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</si>
  <si>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</si>
  <si>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</si>
  <si>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</si>
  <si>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</si>
  <si>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</si>
  <si>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</si>
  <si>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</si>
  <si>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</si>
  <si>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</si>
  <si>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</si>
  <si>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</si>
  <si>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</si>
  <si>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</si>
  <si>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</si>
  <si>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</si>
  <si>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</si>
  <si>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</si>
  <si>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</si>
  <si>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</si>
  <si>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</si>
  <si>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</si>
  <si>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</si>
  <si>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</si>
  <si>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</si>
  <si>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</si>
  <si>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</si>
  <si>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</si>
  <si>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</si>
  <si>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</si>
  <si>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</si>
  <si>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</si>
  <si>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</si>
  <si>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</si>
  <si>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</si>
  <si>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</si>
  <si>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</si>
  <si>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</si>
  <si>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</si>
  <si>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</si>
  <si>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</si>
  <si>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</si>
  <si>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</si>
  <si>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</si>
  <si>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</si>
  <si>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</si>
  <si>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</si>
  <si>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</si>
  <si>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</si>
  <si>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</si>
  <si>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</si>
  <si>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</si>
  <si>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</si>
  <si>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</si>
  <si>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</si>
  <si>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</si>
  <si>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</si>
  <si>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</si>
  <si>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</si>
  <si>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</si>
  <si>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</si>
  <si>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</si>
  <si>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</si>
  <si>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</si>
  <si>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</si>
  <si>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</si>
  <si>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</si>
  <si>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</si>
  <si>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</si>
  <si>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</si>
  <si>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</si>
  <si>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</si>
  <si>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</si>
  <si>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</si>
  <si>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</si>
  <si>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</si>
  <si>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</si>
  <si>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</si>
  <si>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</si>
  <si>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</si>
  <si>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</si>
  <si>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</si>
  <si>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</si>
  <si>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</si>
  <si>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</si>
  <si>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</si>
  <si>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</si>
  <si>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</si>
  <si>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</si>
  <si>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</si>
  <si>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</si>
  <si>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</si>
  <si>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</si>
  <si>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</si>
  <si>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</si>
  <si>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</si>
  <si>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</si>
  <si>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</si>
  <si>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</si>
  <si>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</si>
  <si>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</si>
  <si>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</si>
  <si>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</si>
  <si>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</si>
  <si>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</si>
  <si>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</si>
  <si>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</si>
  <si>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</si>
  <si>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</si>
  <si>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</si>
  <si>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</si>
  <si>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</si>
  <si>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</si>
  <si>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</si>
  <si>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</si>
  <si>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</si>
  <si>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</si>
  <si>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</si>
  <si>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</si>
  <si>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</si>
  <si>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</si>
  <si>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</si>
  <si>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</si>
  <si>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</si>
  <si>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</si>
  <si>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</si>
  <si>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</si>
  <si>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</si>
  <si>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</si>
  <si>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</si>
  <si>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</si>
  <si>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</si>
  <si>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</si>
  <si>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</si>
  <si>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</si>
  <si>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</si>
  <si>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</si>
  <si>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</si>
  <si>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</si>
  <si>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</si>
  <si>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</si>
  <si>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</si>
  <si>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</si>
  <si>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</si>
  <si>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</si>
  <si>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</si>
  <si>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</si>
  <si>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</si>
  <si>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</si>
  <si>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</si>
  <si>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</si>
  <si>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</si>
  <si>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</si>
  <si>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</si>
  <si>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</si>
  <si>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</si>
  <si>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</si>
  <si>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</si>
  <si>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</si>
  <si>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</si>
  <si>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</si>
  <si>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</si>
  <si>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</si>
  <si>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</si>
  <si>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</si>
  <si>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</si>
  <si>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</si>
  <si>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</si>
  <si>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</si>
  <si>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</si>
  <si>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</si>
  <si>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</si>
  <si>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</si>
  <si>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</si>
  <si>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</si>
  <si>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</si>
  <si>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</si>
  <si>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</si>
  <si>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</si>
  <si>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</si>
  <si>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</si>
  <si>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</si>
  <si>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</si>
  <si>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</si>
  <si>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</si>
  <si>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</si>
  <si>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</si>
  <si>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</si>
  <si>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</si>
  <si>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</si>
  <si>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</si>
  <si>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</si>
  <si>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</si>
  <si>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</si>
  <si>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</si>
  <si>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</si>
  <si>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</si>
  <si>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</si>
  <si>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</si>
  <si>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</si>
  <si>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</si>
  <si>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</si>
  <si>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</si>
  <si>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</si>
  <si>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</si>
  <si>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</si>
  <si>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</si>
  <si>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</si>
  <si>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</si>
  <si>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</si>
  <si>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</si>
  <si>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</si>
  <si>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</si>
  <si>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</si>
  <si>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</si>
  <si>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</si>
  <si>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</si>
  <si>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</si>
  <si>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</si>
  <si>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</si>
  <si>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</si>
  <si>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</si>
  <si>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</si>
  <si>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</si>
  <si>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</si>
  <si>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</si>
  <si>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</si>
  <si>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</si>
  <si>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</si>
  <si>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</si>
  <si>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</si>
  <si>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</si>
  <si>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</si>
  <si>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</si>
  <si>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</si>
  <si>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</si>
  <si>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</si>
  <si>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</si>
  <si>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</si>
  <si>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</si>
  <si>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</si>
  <si>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</si>
  <si>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</si>
  <si>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</si>
  <si>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</si>
  <si>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</si>
  <si>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</si>
  <si>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</si>
  <si>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</si>
  <si>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</si>
  <si>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</si>
  <si>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</si>
  <si>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</si>
  <si>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</si>
  <si>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</si>
  <si>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</si>
  <si>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</si>
  <si>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</si>
  <si>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</si>
  <si>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</si>
  <si>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</si>
  <si>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</si>
  <si>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</si>
  <si>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</si>
  <si>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</si>
  <si>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</si>
  <si>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</si>
  <si>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</si>
  <si>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</si>
  <si>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</si>
  <si>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</si>
  <si>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</si>
  <si>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</si>
  <si>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</si>
  <si>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</si>
  <si>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</si>
  <si>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</si>
  <si>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</si>
  <si>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</si>
  <si>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</si>
  <si>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</si>
  <si>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</si>
  <si>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</si>
  <si>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</si>
  <si>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</si>
  <si>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</si>
  <si>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</si>
  <si>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</si>
  <si>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</si>
  <si>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</si>
  <si>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</si>
  <si>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</si>
  <si>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</si>
  <si>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</si>
  <si>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</si>
  <si>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</si>
  <si>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</si>
  <si>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</si>
  <si>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</si>
  <si>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</si>
  <si>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</si>
  <si>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</si>
  <si>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</si>
  <si>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</si>
  <si>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</si>
  <si>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</si>
  <si>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</si>
  <si>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</si>
  <si>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</si>
  <si>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</si>
  <si>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</si>
  <si>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</si>
  <si>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</si>
  <si>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</si>
  <si>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</si>
  <si>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</si>
  <si>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</si>
  <si>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</si>
  <si>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</si>
  <si>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</si>
  <si>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</si>
  <si>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</si>
  <si>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</si>
  <si>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</si>
  <si>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</si>
  <si>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</si>
  <si>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</si>
  <si>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</si>
  <si>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</si>
  <si>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</si>
  <si>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</si>
  <si>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</si>
  <si>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</si>
  <si>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</si>
  <si>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</si>
  <si>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</si>
  <si>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</si>
  <si>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</si>
  <si>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</si>
  <si>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</si>
  <si>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</si>
  <si>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</si>
  <si>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</si>
  <si>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</si>
  <si>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</si>
  <si>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</si>
  <si>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</si>
  <si>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</si>
  <si>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</si>
  <si>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</si>
  <si>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</si>
  <si>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</si>
  <si>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</si>
  <si>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</si>
  <si>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</si>
  <si>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</si>
  <si>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</si>
  <si>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</si>
  <si>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</si>
  <si>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</si>
  <si>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</si>
  <si>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</si>
  <si>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</si>
  <si>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</si>
  <si>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</si>
  <si>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</si>
  <si>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</si>
  <si>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</si>
  <si>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</si>
  <si>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</si>
  <si>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</si>
  <si>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</si>
  <si>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</si>
  <si>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</si>
  <si>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</si>
  <si>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</si>
  <si>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</si>
  <si>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</si>
  <si>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</si>
  <si>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</si>
  <si>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</si>
  <si>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</si>
  <si>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</si>
  <si>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</si>
  <si>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</si>
  <si>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</si>
  <si>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</si>
  <si>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</si>
  <si>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</si>
  <si>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</si>
  <si>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</si>
  <si>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</si>
  <si>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</si>
  <si>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</si>
  <si>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</si>
  <si>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</si>
  <si>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</si>
  <si>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</si>
  <si>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</si>
  <si>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</si>
  <si>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</si>
  <si>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</si>
  <si>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</si>
  <si>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</si>
  <si>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</si>
  <si>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</si>
  <si>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</si>
  <si>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</si>
  <si>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</si>
  <si>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</si>
  <si>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</si>
  <si>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</si>
  <si>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</si>
  <si>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</si>
  <si>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</si>
  <si>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</si>
  <si>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</si>
  <si>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</si>
  <si>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</si>
  <si>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</si>
  <si>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</si>
  <si>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</si>
  <si>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</si>
  <si>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</si>
  <si>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</si>
  <si>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</si>
  <si>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</si>
  <si>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</si>
  <si>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</si>
  <si>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</si>
  <si>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</si>
  <si>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</si>
  <si>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</si>
  <si>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</si>
  <si>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</si>
  <si>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</si>
  <si>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</si>
  <si>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</si>
  <si>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</si>
  <si>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</si>
  <si>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</si>
  <si>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</si>
  <si>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</si>
  <si>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</si>
  <si>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</si>
  <si>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</si>
  <si>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</si>
  <si>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</si>
  <si>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</si>
  <si>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</si>
  <si>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</si>
  <si>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</si>
  <si>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</si>
  <si>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</si>
  <si>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</si>
  <si>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</si>
  <si>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</si>
  <si>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</si>
  <si>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</si>
  <si>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</si>
  <si>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</si>
  <si>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</si>
  <si>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</si>
  <si>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</si>
  <si>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</si>
  <si>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</si>
  <si>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</si>
  <si>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</si>
  <si>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</si>
  <si>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</si>
  <si>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</si>
  <si>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</si>
  <si>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</si>
  <si>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</si>
  <si>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</si>
  <si>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</si>
  <si>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</si>
  <si>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</si>
  <si>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</si>
  <si>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</si>
  <si>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</si>
  <si>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</si>
  <si>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</si>
  <si>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</si>
  <si>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</si>
  <si>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</si>
  <si>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</si>
  <si>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</si>
  <si>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</si>
  <si>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</si>
  <si>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</si>
  <si>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</si>
  <si>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</si>
  <si>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</si>
  <si>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</si>
  <si>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</si>
  <si>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</si>
  <si>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</si>
  <si>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</si>
  <si>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</si>
  <si>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</si>
  <si>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</si>
  <si>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</si>
  <si>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</si>
  <si>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</si>
  <si>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</si>
  <si>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</si>
  <si>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</si>
  <si>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</si>
  <si>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</si>
  <si>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</si>
  <si>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</si>
  <si>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</si>
  <si>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</si>
  <si>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</si>
  <si>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</si>
  <si>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</si>
  <si>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</si>
  <si>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</si>
  <si>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</si>
  <si>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</si>
  <si>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</si>
  <si>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</si>
  <si>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</si>
  <si>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</si>
  <si>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</si>
  <si>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</si>
  <si>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</si>
  <si>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</si>
  <si>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</si>
  <si>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</si>
  <si>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</si>
  <si>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</si>
  <si>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</si>
  <si>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</si>
  <si>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</si>
  <si>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</si>
  <si>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</si>
  <si>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</si>
  <si>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</si>
  <si>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</si>
  <si>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</si>
  <si>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</si>
  <si>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</si>
  <si>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</si>
  <si>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</si>
  <si>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</si>
  <si>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</si>
  <si>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</si>
  <si>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</si>
  <si>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</si>
  <si>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</si>
  <si>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</si>
  <si>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</si>
  <si>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</si>
  <si>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</si>
  <si>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</si>
  <si>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</si>
  <si>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</si>
  <si>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</si>
  <si>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</si>
  <si>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</si>
  <si>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</si>
  <si>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</si>
  <si>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</si>
  <si>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</si>
  <si>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</si>
  <si>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</si>
  <si>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</si>
  <si>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</si>
  <si>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</si>
  <si>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</si>
  <si>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</si>
  <si>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</si>
  <si>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</si>
  <si>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</si>
  <si>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</si>
  <si>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</si>
  <si>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</si>
  <si>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</si>
  <si>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</si>
  <si>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</si>
  <si>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</si>
  <si>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</si>
  <si>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</si>
  <si>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</si>
  <si>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</si>
  <si>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</si>
  <si>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</si>
  <si>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</si>
  <si>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</si>
  <si>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</si>
  <si>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</si>
  <si>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</si>
  <si>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</si>
  <si>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</si>
  <si>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</si>
  <si>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</si>
  <si>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</si>
  <si>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</si>
  <si>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</si>
  <si>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</si>
  <si>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</si>
  <si>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</si>
  <si>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</si>
  <si>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</si>
  <si>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</si>
  <si>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</si>
  <si>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</si>
  <si>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</si>
  <si>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</si>
  <si>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</si>
  <si>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</si>
  <si>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</si>
  <si>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</si>
  <si>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</si>
  <si>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</si>
  <si>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</si>
  <si>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</si>
  <si>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</si>
  <si>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</si>
  <si>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</si>
  <si>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</si>
  <si>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</si>
  <si>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</si>
  <si>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</si>
  <si>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</si>
  <si>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</si>
  <si>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</si>
  <si>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</si>
  <si>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</si>
  <si>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</si>
  <si>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</si>
  <si>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</si>
  <si>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</si>
  <si>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</si>
  <si>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</si>
  <si>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</si>
  <si>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</si>
  <si>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</si>
  <si>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</si>
  <si>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</si>
  <si>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</si>
  <si>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</si>
  <si>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</si>
  <si>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</si>
  <si>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</si>
  <si>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</si>
  <si>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</si>
  <si>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</si>
  <si>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</si>
  <si>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</si>
  <si>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</si>
  <si>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</si>
  <si>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</si>
  <si>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</si>
  <si>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</si>
  <si>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</si>
  <si>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</si>
  <si>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</si>
  <si>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</si>
  <si>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</si>
  <si>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</si>
  <si>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</si>
  <si>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</si>
  <si>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</si>
  <si>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</si>
  <si>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</si>
  <si>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</si>
  <si>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</si>
  <si>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</si>
  <si>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</si>
  <si>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</si>
  <si>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</si>
  <si>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</si>
  <si>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</si>
  <si>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</si>
  <si>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</si>
  <si>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</si>
  <si>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</si>
  <si>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</si>
  <si>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</si>
  <si>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</si>
  <si>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</si>
  <si>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</si>
  <si>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</si>
  <si>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</si>
  <si>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</si>
  <si>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</si>
  <si>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</si>
  <si>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</si>
  <si>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</si>
  <si>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</si>
  <si>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</si>
  <si>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</si>
  <si>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</si>
  <si>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</si>
  <si>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</si>
  <si>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</si>
  <si>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</si>
  <si>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</si>
  <si>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</si>
  <si>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</si>
  <si>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</si>
  <si>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</si>
  <si>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</si>
  <si>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</si>
  <si>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</si>
  <si>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</si>
  <si>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</si>
  <si>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</si>
  <si>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</si>
  <si>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</si>
  <si>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</si>
  <si>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</si>
  <si>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</si>
  <si>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</si>
  <si>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</si>
  <si>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</si>
  <si>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</si>
  <si>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</si>
  <si>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</si>
  <si>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</si>
  <si>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</si>
  <si>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</si>
  <si>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</si>
  <si>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</si>
  <si>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</si>
  <si>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</si>
  <si>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</si>
  <si>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</si>
  <si>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</si>
  <si>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</si>
  <si>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</si>
  <si>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</si>
  <si>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</si>
  <si>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</si>
  <si>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</si>
  <si>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</si>
  <si>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</si>
  <si>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</si>
  <si>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</si>
  <si>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</si>
  <si>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</si>
  <si>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</si>
  <si>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</si>
  <si>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</si>
  <si>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</si>
  <si>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</si>
  <si>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</si>
  <si>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</si>
  <si>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</si>
  <si>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</si>
  <si>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</si>
  <si>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</si>
  <si>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</si>
  <si>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</si>
  <si>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</si>
  <si>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</si>
  <si>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</si>
  <si>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</si>
  <si>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</si>
  <si>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</si>
  <si>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</si>
  <si>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</si>
  <si>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</si>
  <si>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</si>
  <si>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</si>
  <si>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</si>
  <si>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</si>
  <si>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</si>
  <si>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</si>
  <si>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</si>
  <si>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</si>
  <si>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</si>
  <si>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</si>
  <si>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</si>
  <si>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</si>
  <si>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</si>
  <si>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</si>
  <si>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</si>
  <si>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</si>
  <si>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</si>
  <si>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</si>
  <si>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</si>
  <si>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</si>
  <si>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</si>
  <si>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</si>
  <si>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</si>
  <si>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</si>
  <si>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</si>
  <si>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</si>
  <si>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</si>
  <si>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</si>
  <si>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</si>
  <si>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</si>
  <si>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</si>
  <si>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</si>
  <si>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</si>
  <si>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</si>
  <si>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</si>
  <si>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</si>
  <si>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</si>
  <si>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</si>
  <si>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</si>
  <si>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</si>
  <si>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</si>
  <si>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</si>
  <si>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</si>
  <si>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</si>
  <si>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</si>
  <si>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</si>
  <si>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</si>
  <si>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</si>
  <si>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</si>
  <si>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</si>
  <si>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</si>
  <si>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</si>
  <si>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</si>
  <si>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</si>
  <si>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</si>
  <si>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</si>
  <si>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</si>
  <si>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</si>
  <si>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</si>
  <si>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</si>
  <si>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</si>
  <si>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</si>
  <si>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</si>
  <si>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</si>
  <si>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</si>
  <si>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</si>
  <si>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</si>
  <si>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</si>
  <si>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</si>
  <si>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</si>
  <si>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</si>
  <si>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</si>
  <si>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</si>
  <si>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</si>
  <si>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</si>
  <si>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</si>
  <si>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</si>
  <si>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</si>
  <si>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</si>
  <si>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</si>
  <si>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</si>
  <si>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</si>
  <si>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</si>
  <si>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</si>
  <si>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</si>
  <si>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</si>
  <si>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</si>
  <si>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</si>
  <si>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</si>
  <si>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</si>
  <si>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</si>
  <si>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</si>
  <si>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</si>
  <si>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</si>
  <si>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</si>
  <si>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</si>
  <si>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</si>
  <si>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</si>
  <si>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</si>
  <si>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</si>
  <si>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</si>
  <si>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</si>
  <si>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</si>
  <si>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</si>
  <si>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</si>
  <si>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</si>
  <si>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</si>
  <si>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</si>
  <si>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</si>
  <si>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</si>
  <si>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</si>
  <si>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</si>
  <si>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</si>
  <si>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</si>
  <si>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</si>
  <si>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</si>
  <si>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</si>
  <si>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</si>
  <si>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</si>
  <si>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</si>
  <si>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</si>
  <si>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</si>
  <si>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</si>
  <si>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</si>
  <si>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</si>
  <si>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</si>
  <si>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</si>
  <si>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</si>
  <si>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</si>
  <si>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</si>
  <si>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</si>
  <si>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</si>
  <si>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</si>
  <si>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</si>
  <si>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</si>
  <si>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</si>
  <si>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</si>
  <si>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</si>
  <si>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</si>
  <si>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</si>
  <si>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</si>
  <si>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</si>
  <si>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</si>
  <si>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</si>
  <si>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</si>
  <si>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</si>
  <si>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</si>
  <si>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</si>
  <si>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</si>
  <si>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</si>
  <si>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</si>
  <si>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</si>
  <si>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</si>
  <si>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</si>
  <si>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</si>
  <si>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</si>
  <si>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</si>
  <si>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</si>
  <si>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</si>
  <si>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</si>
  <si>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</si>
  <si>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</si>
  <si>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</si>
  <si>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</si>
  <si>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</si>
  <si>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</si>
  <si>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</si>
  <si>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</si>
  <si>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</si>
  <si>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</si>
  <si>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</si>
  <si>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</si>
  <si>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</si>
  <si>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</si>
  <si>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</si>
  <si>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</si>
  <si>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</si>
  <si>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</si>
  <si>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</si>
  <si>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</si>
  <si>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</si>
  <si>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</si>
  <si>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</si>
  <si>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</si>
  <si>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</si>
  <si>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</si>
  <si>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</si>
  <si>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</si>
  <si>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</si>
  <si>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</si>
  <si>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</si>
  <si>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</si>
  <si>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</si>
  <si>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</si>
  <si>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</si>
  <si>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</si>
  <si>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</si>
  <si>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</si>
  <si>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</si>
  <si>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</si>
  <si>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</si>
  <si>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</si>
  <si>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</si>
  <si>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</si>
  <si>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</si>
  <si>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</si>
  <si>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</si>
  <si>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</si>
  <si>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</si>
  <si>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</si>
  <si>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</si>
  <si>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</si>
  <si>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</si>
  <si>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</si>
  <si>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</si>
  <si>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</si>
  <si>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</si>
  <si>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</si>
  <si>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</si>
  <si>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</si>
  <si>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</si>
  <si>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</si>
  <si>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</si>
  <si>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</si>
  <si>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</si>
  <si>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</si>
  <si>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</si>
  <si>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</si>
  <si>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</si>
  <si>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</si>
  <si>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</si>
  <si>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</si>
  <si>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</si>
  <si>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</si>
  <si>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</si>
  <si>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</si>
  <si>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</si>
  <si>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</si>
  <si>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</si>
  <si>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</si>
  <si>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</si>
  <si>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</si>
  <si>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</si>
  <si>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</si>
  <si>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</si>
  <si>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</si>
  <si>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</si>
  <si>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</si>
  <si>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</si>
  <si>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</si>
  <si>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</si>
  <si>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</si>
  <si>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</si>
  <si>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</si>
  <si>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</si>
  <si>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</si>
  <si>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</si>
  <si>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</si>
  <si>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</si>
  <si>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</si>
  <si>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</si>
  <si>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</si>
  <si>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</si>
  <si>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</si>
  <si>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</si>
  <si>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</si>
  <si>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</si>
  <si>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</si>
  <si>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</si>
  <si>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</si>
  <si>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</si>
  <si>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</si>
  <si>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</si>
  <si>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</si>
  <si>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</si>
  <si>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</si>
  <si>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</si>
  <si>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</si>
  <si>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</si>
  <si>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</si>
  <si>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</si>
  <si>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</si>
  <si>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</si>
  <si>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</si>
  <si>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</si>
  <si>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</si>
  <si>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</si>
  <si>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</si>
  <si>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</si>
  <si>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</si>
  <si>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</si>
  <si>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</si>
  <si>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</si>
  <si>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</si>
  <si>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</si>
  <si>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</si>
  <si>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</si>
  <si>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</si>
  <si>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</si>
  <si>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</si>
  <si>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</si>
  <si>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</si>
  <si>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</si>
  <si>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</si>
  <si>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</si>
  <si>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</si>
  <si>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</si>
  <si>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</si>
  <si>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</si>
  <si>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</si>
  <si>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</si>
  <si>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</si>
  <si>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</si>
  <si>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</si>
  <si>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</si>
  <si>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</si>
  <si>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</si>
  <si>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</si>
  <si>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</si>
  <si>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</si>
  <si>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</si>
  <si>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</si>
  <si>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</si>
  <si>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</si>
  <si>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</si>
  <si>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</si>
  <si>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</si>
  <si>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</si>
  <si>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</si>
  <si>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</si>
  <si>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</si>
  <si>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</si>
  <si>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</si>
  <si>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</si>
  <si>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</si>
  <si>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</si>
  <si>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</si>
  <si>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</si>
  <si>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</si>
  <si>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</si>
  <si>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</si>
  <si>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</si>
  <si>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</si>
  <si>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</si>
  <si>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</si>
  <si>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</si>
  <si>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</si>
  <si>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</si>
  <si>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</si>
  <si>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</si>
  <si>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</si>
  <si>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</si>
  <si>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</si>
  <si>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</si>
  <si>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</si>
  <si>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</si>
  <si>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</si>
  <si>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</si>
  <si>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</si>
  <si>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</si>
  <si>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</si>
  <si>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</si>
  <si>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</si>
  <si>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</si>
  <si>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</si>
  <si>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</si>
  <si>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</si>
  <si>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</si>
  <si>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</si>
  <si>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</si>
  <si>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</si>
  <si>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</si>
  <si>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</si>
  <si>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</si>
  <si>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</si>
  <si>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</si>
  <si>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</si>
  <si>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</si>
  <si>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</si>
  <si>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</si>
  <si>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</si>
  <si>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</si>
  <si>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</si>
  <si>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</si>
  <si>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</si>
  <si>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</si>
  <si>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</si>
  <si>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</si>
  <si>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</si>
  <si>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</si>
  <si>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</si>
  <si>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</si>
  <si>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</si>
  <si>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</si>
  <si>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</si>
  <si>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</si>
  <si>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</si>
  <si>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</si>
  <si>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</si>
  <si>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</si>
  <si>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</si>
  <si>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</si>
  <si>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</si>
  <si>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</si>
  <si>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</si>
  <si>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</si>
  <si>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</si>
  <si>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</si>
  <si>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</si>
  <si>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</si>
  <si>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</si>
  <si>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</si>
  <si>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</si>
  <si>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</si>
  <si>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</si>
  <si>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</si>
  <si>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</si>
  <si>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</si>
  <si>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</si>
  <si>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</si>
  <si>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</si>
  <si>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</si>
  <si>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</si>
  <si>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</si>
  <si>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</si>
  <si>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</si>
  <si>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</si>
  <si>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</si>
  <si>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</si>
  <si>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</si>
  <si>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</si>
  <si>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</si>
  <si>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</si>
  <si>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</si>
  <si>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</si>
  <si>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</si>
  <si>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</si>
  <si>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</si>
  <si>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</si>
  <si>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</si>
  <si>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</si>
  <si>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</si>
  <si>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</si>
  <si>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</si>
  <si>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</si>
  <si>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</si>
  <si>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</si>
  <si>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</si>
  <si>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</si>
  <si>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</si>
  <si>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</si>
  <si>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</si>
  <si>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</si>
  <si>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</si>
  <si>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</si>
  <si>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</si>
  <si>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</si>
  <si>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</si>
  <si>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</si>
  <si>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</si>
  <si>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</si>
  <si>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</si>
  <si>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</si>
  <si>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</si>
  <si>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</si>
  <si>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</si>
  <si>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</si>
  <si>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</si>
  <si>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</si>
  <si>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</si>
  <si>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</si>
  <si>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</si>
  <si>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</si>
  <si>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</si>
  <si>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</si>
  <si>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</si>
  <si>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</si>
  <si>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</si>
  <si>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</si>
  <si>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</si>
  <si>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</si>
  <si>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</si>
  <si>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</si>
  <si>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</si>
  <si>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</si>
  <si>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</si>
  <si>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</si>
  <si>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</si>
  <si>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</si>
  <si>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</si>
  <si>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</si>
  <si>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</si>
  <si>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</si>
  <si>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</si>
  <si>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</si>
  <si>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</si>
  <si>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</si>
  <si>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</si>
  <si>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</si>
  <si>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</si>
  <si>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</si>
  <si>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</si>
  <si>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</si>
  <si>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</si>
  <si>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</si>
  <si>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</si>
  <si>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</si>
  <si>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</si>
  <si>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</si>
  <si>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</si>
  <si>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</si>
  <si>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</si>
  <si>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</si>
  <si>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</si>
  <si>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</si>
  <si>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</si>
  <si>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</si>
  <si>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</si>
  <si>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</si>
  <si>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</si>
  <si>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</si>
  <si>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</si>
  <si>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</si>
  <si>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</si>
  <si>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</si>
  <si>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</si>
  <si>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</si>
  <si>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</si>
  <si>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</si>
  <si>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</si>
  <si>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</si>
  <si>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</si>
  <si>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</si>
  <si>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</si>
  <si>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</si>
  <si>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</si>
  <si>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</si>
  <si>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</si>
  <si>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</si>
  <si>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</si>
  <si>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</si>
  <si>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</si>
  <si>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</si>
  <si>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</si>
  <si>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</si>
  <si>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</si>
  <si>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</si>
  <si>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</si>
  <si>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</si>
  <si>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</si>
  <si>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</si>
  <si>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</si>
  <si>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</si>
  <si>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</si>
  <si>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</si>
  <si>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</si>
  <si>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</si>
  <si>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</si>
  <si>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</si>
  <si>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</si>
  <si>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</si>
  <si>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</si>
  <si>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</si>
  <si>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</si>
  <si>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</si>
  <si>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</si>
  <si>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</si>
  <si>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</si>
  <si>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</si>
  <si>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</si>
  <si>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</si>
  <si>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</si>
  <si>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</si>
  <si>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</si>
  <si>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</si>
  <si>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</si>
  <si>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</si>
  <si>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</si>
  <si>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</si>
  <si>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</si>
  <si>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</si>
  <si>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</si>
  <si>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</si>
  <si>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</si>
  <si>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</si>
  <si>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</si>
  <si>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</si>
  <si>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</si>
  <si>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</si>
  <si>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</si>
  <si>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</si>
  <si>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</si>
  <si>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</si>
  <si>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</si>
  <si>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</si>
  <si>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</si>
  <si>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</si>
  <si>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</si>
  <si>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</si>
  <si>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</si>
  <si>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</si>
  <si>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</si>
  <si>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</si>
  <si>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</si>
  <si>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</si>
  <si>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</si>
  <si>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</si>
  <si>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</si>
  <si>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</si>
  <si>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</si>
  <si>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</si>
  <si>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</si>
  <si>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</si>
  <si>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</si>
  <si>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</si>
  <si>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</si>
  <si>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</si>
  <si>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</si>
  <si>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</si>
  <si>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</si>
  <si>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</si>
  <si>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</si>
  <si>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</si>
  <si>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</si>
  <si>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</si>
  <si>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</si>
  <si>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</si>
  <si>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</si>
  <si>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</si>
  <si>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</si>
  <si>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</si>
  <si>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</si>
  <si>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</si>
  <si>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</si>
  <si>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</si>
  <si>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</si>
  <si>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</si>
  <si>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</si>
  <si>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</si>
  <si>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</si>
  <si>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</si>
  <si>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</si>
  <si>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</si>
  <si>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</si>
  <si>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</si>
  <si>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</si>
  <si>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</si>
  <si>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</si>
  <si>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</si>
  <si>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</si>
  <si>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</si>
  <si>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</si>
  <si>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</si>
  <si>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</si>
  <si>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</si>
  <si>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</si>
  <si>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</si>
  <si>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</si>
  <si>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</si>
  <si>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</si>
  <si>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</si>
  <si>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</si>
  <si>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</si>
  <si>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</si>
  <si>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</si>
  <si>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</si>
  <si>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</si>
  <si>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</si>
  <si>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</si>
  <si>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</si>
  <si>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</si>
  <si>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</si>
  <si>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</si>
  <si>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</si>
  <si>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</si>
  <si>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</si>
  <si>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</si>
  <si>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</si>
  <si>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</si>
  <si>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</si>
  <si>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</si>
  <si>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</si>
  <si>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</si>
  <si>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</si>
  <si>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</si>
  <si>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</si>
  <si>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</si>
  <si>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</si>
  <si>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</si>
  <si>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</si>
  <si>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</si>
  <si>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</si>
  <si>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</si>
  <si>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</si>
  <si>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</si>
  <si>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</si>
  <si>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</si>
  <si>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</si>
  <si>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</si>
  <si>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</si>
  <si>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</si>
  <si>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</si>
  <si>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</si>
  <si>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</si>
  <si>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</si>
  <si>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</si>
  <si>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</si>
  <si>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</si>
  <si>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</si>
  <si>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</si>
  <si>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</si>
  <si>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</si>
  <si>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</si>
  <si>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</si>
  <si>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</si>
  <si>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</si>
  <si>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</si>
  <si>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</si>
  <si>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</si>
  <si>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</si>
  <si>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</si>
  <si>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</si>
  <si>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</si>
  <si>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</si>
  <si>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</si>
  <si>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</si>
  <si>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</si>
  <si>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</si>
  <si>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</si>
  <si>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</si>
  <si>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</si>
  <si>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</si>
  <si>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</si>
  <si>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</si>
  <si>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</si>
  <si>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</si>
  <si>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</si>
  <si>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</si>
  <si>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</si>
  <si>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</si>
  <si>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</si>
  <si>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</si>
  <si>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</si>
  <si>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</si>
  <si>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</si>
  <si>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</si>
  <si>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</si>
  <si>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</si>
  <si>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</si>
  <si>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</si>
  <si>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</si>
  <si>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</si>
  <si>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</si>
  <si>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</si>
  <si>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</si>
  <si>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</si>
  <si>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</si>
  <si>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</si>
  <si>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</si>
  <si>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</si>
  <si>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</si>
  <si>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</si>
  <si>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</si>
  <si>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</si>
  <si>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</si>
  <si>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</si>
  <si>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</si>
  <si>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</si>
  <si>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</si>
  <si>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</si>
  <si>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</si>
  <si>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</si>
  <si>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</si>
  <si>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</si>
  <si>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</si>
  <si>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</si>
  <si>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</si>
  <si>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</si>
  <si>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</si>
  <si>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</si>
  <si>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</si>
  <si>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</si>
  <si>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</si>
  <si>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</si>
  <si>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</si>
  <si>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</si>
  <si>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</si>
  <si>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</si>
  <si>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</si>
  <si>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</si>
  <si>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</si>
  <si>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</si>
  <si>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</si>
  <si>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</si>
  <si>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</si>
  <si>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</si>
  <si>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</si>
  <si>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</si>
  <si>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</si>
  <si>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</si>
  <si>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</si>
  <si>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</si>
  <si>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</si>
  <si>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</si>
  <si>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</si>
  <si>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</si>
  <si>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</si>
  <si>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</si>
  <si>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</si>
  <si>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</si>
  <si>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</si>
  <si>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</si>
  <si>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</si>
  <si>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</si>
  <si>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</si>
  <si>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</si>
  <si>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</si>
  <si>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</si>
  <si>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</si>
  <si>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</si>
  <si>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</si>
  <si>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</si>
  <si>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</si>
  <si>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</si>
  <si>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</si>
  <si>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</si>
  <si>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</si>
  <si>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</si>
  <si>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</si>
  <si>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</si>
  <si>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</si>
  <si>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</si>
  <si>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</si>
  <si>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</si>
  <si>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</si>
  <si>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</si>
  <si>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</si>
  <si>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</si>
  <si>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</si>
  <si>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</si>
  <si>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</si>
  <si>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</si>
  <si>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</si>
  <si>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</si>
  <si>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</si>
  <si>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</si>
  <si>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</si>
  <si>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</si>
  <si>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</si>
  <si>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</si>
  <si>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</si>
  <si>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</si>
  <si>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</si>
  <si>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</si>
  <si>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</si>
  <si>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</si>
  <si>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</si>
  <si>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</si>
  <si>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</si>
  <si>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</si>
  <si>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</si>
  <si>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</si>
  <si>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</si>
  <si>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</si>
  <si>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</si>
  <si>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</si>
  <si>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</si>
  <si>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</si>
  <si>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</si>
  <si>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</si>
  <si>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</si>
  <si>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</si>
  <si>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</si>
  <si>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</si>
  <si>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</si>
  <si>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</si>
  <si>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</si>
  <si>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</si>
  <si>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</si>
  <si>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</si>
  <si>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</si>
  <si>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</si>
  <si>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</si>
  <si>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</si>
  <si>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</si>
  <si>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</si>
  <si>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</si>
  <si>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</si>
  <si>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</si>
  <si>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</si>
  <si>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</si>
  <si>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</si>
  <si>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</si>
  <si>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</si>
  <si>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</si>
  <si>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</si>
  <si>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</si>
  <si>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</si>
  <si>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</si>
  <si>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</si>
  <si>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</si>
  <si>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</si>
  <si>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</si>
  <si>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</si>
  <si>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</si>
  <si>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</si>
  <si>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</si>
  <si>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</si>
  <si>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</si>
  <si>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</si>
  <si>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</si>
  <si>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</si>
  <si>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</si>
  <si>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</si>
  <si>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</si>
  <si>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</si>
  <si>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</si>
  <si>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</si>
  <si>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</si>
  <si>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</si>
  <si>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</si>
  <si>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</si>
  <si>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</si>
  <si>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</si>
  <si>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</si>
  <si>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</si>
  <si>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</si>
  <si>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</si>
  <si>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</si>
  <si>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</si>
  <si>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</si>
  <si>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</si>
  <si>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</si>
  <si>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</si>
  <si>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</si>
  <si>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</si>
  <si>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</si>
  <si>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</si>
  <si>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</si>
  <si>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</si>
  <si>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</si>
  <si>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</si>
  <si>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</si>
  <si>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</si>
  <si>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</si>
  <si>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</si>
  <si>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</si>
  <si>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</si>
  <si>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</si>
  <si>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</si>
  <si>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</si>
  <si>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</si>
  <si>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</si>
  <si>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</si>
  <si>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</si>
  <si>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</si>
  <si>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</si>
  <si>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</si>
  <si>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</si>
  <si>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</si>
  <si>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</si>
  <si>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</si>
  <si>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</si>
  <si>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</si>
  <si>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</si>
  <si>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</si>
  <si>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</si>
  <si>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</si>
  <si>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</si>
  <si>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</si>
  <si>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</si>
  <si>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</si>
  <si>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</si>
  <si>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</si>
  <si>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</si>
  <si>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</si>
  <si>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</si>
  <si>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</si>
  <si>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</si>
  <si>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</si>
  <si>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</si>
  <si>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</si>
  <si>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</si>
  <si>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</si>
  <si>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</si>
  <si>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</si>
  <si>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</si>
  <si>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</si>
  <si>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</si>
  <si>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</si>
  <si>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</si>
  <si>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</si>
  <si>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</si>
  <si>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</si>
  <si>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</si>
  <si>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</si>
  <si>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</si>
  <si>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</si>
  <si>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</si>
  <si>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</si>
  <si>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</si>
  <si>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</si>
  <si>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</si>
  <si>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</si>
  <si>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</si>
  <si>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</si>
  <si>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</si>
  <si>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</si>
  <si>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</si>
  <si>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</si>
  <si>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</si>
  <si>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</si>
  <si>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</si>
  <si>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</si>
  <si>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</si>
  <si>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</si>
  <si>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</si>
  <si>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</si>
  <si>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</si>
  <si>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</si>
  <si>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</si>
  <si>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</si>
  <si>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</si>
  <si>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</si>
  <si>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</si>
  <si>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</si>
  <si>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</si>
  <si>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</si>
  <si>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</si>
  <si>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</si>
  <si>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</si>
  <si>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</si>
  <si>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</si>
  <si>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</si>
  <si>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</si>
  <si>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</si>
  <si>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</si>
  <si>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</si>
  <si>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</si>
  <si>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</si>
  <si>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</si>
  <si>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</si>
  <si>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</si>
  <si>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</si>
  <si>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</si>
  <si>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</si>
  <si>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</si>
  <si>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</si>
  <si>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</si>
  <si>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</si>
  <si>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</si>
  <si>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</si>
  <si>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</si>
  <si>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</si>
  <si>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</si>
  <si>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</si>
  <si>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</si>
  <si>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</si>
  <si>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</si>
  <si>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</si>
  <si>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</si>
  <si>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</si>
  <si>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</si>
  <si>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</si>
  <si>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</si>
  <si>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</si>
  <si>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</si>
  <si>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</si>
  <si>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</si>
  <si>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</si>
  <si>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</si>
  <si>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</si>
  <si>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</si>
  <si>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</si>
  <si>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</si>
  <si>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</si>
  <si>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</si>
  <si>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</si>
  <si>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</si>
  <si>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</si>
  <si>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</si>
  <si>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</si>
  <si>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</si>
  <si>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</si>
  <si>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</si>
  <si>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</si>
  <si>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</si>
  <si>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</si>
  <si>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</si>
  <si>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</si>
  <si>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</si>
  <si>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</si>
  <si>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</si>
  <si>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</si>
  <si>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</si>
  <si>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</si>
  <si>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</si>
  <si>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</si>
  <si>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</si>
  <si>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</si>
  <si>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</si>
  <si>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</si>
  <si>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</si>
  <si>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</si>
  <si>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</si>
  <si>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</si>
  <si>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</si>
  <si>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</si>
  <si>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</si>
  <si>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</si>
  <si>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</si>
  <si>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</si>
  <si>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</si>
  <si>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</si>
  <si>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</si>
  <si>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</si>
  <si>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</si>
  <si>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</si>
  <si>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</si>
  <si>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</si>
  <si>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</si>
  <si>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</si>
  <si>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</si>
  <si>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</si>
  <si>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</si>
  <si>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</si>
  <si>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</si>
  <si>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</si>
  <si>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</si>
  <si>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</si>
  <si>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</si>
  <si>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</si>
  <si>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</si>
  <si>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</si>
  <si>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</si>
  <si>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</si>
  <si>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</si>
  <si>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</si>
  <si>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</si>
  <si>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</si>
  <si>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</si>
  <si>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</si>
  <si>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</si>
  <si>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</si>
  <si>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</si>
  <si>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</si>
  <si>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</si>
  <si>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</si>
  <si>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</si>
  <si>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</si>
  <si>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</si>
  <si>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</si>
  <si>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</si>
  <si>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</si>
  <si>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</si>
  <si>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</si>
  <si>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</si>
  <si>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</si>
  <si>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</si>
  <si>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</si>
  <si>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</si>
  <si>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</si>
  <si>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</si>
  <si>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</si>
  <si>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</si>
  <si>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</si>
  <si>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</si>
  <si>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</si>
  <si>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</si>
  <si>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</si>
  <si>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</si>
  <si>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</si>
  <si>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</si>
  <si>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</si>
  <si>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</si>
  <si>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</si>
  <si>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</si>
  <si>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</si>
  <si>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</si>
  <si>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</si>
  <si>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</si>
  <si>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</si>
  <si>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</si>
  <si>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</si>
  <si>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</si>
  <si>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</si>
  <si>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</si>
  <si>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</si>
  <si>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</si>
  <si>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</si>
  <si>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</si>
  <si>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</si>
  <si>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</si>
  <si>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</si>
  <si>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</si>
  <si>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</si>
  <si>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</si>
  <si>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</si>
  <si>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</si>
  <si>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</si>
  <si>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</si>
  <si>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</si>
  <si>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</si>
  <si>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</si>
  <si>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</si>
  <si>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</si>
  <si>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</si>
  <si>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</si>
  <si>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</si>
  <si>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</si>
  <si>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</si>
  <si>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</si>
  <si>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</si>
  <si>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</si>
  <si>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</si>
  <si>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</si>
  <si>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</si>
  <si>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</si>
  <si>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</si>
  <si>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</si>
  <si>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</si>
  <si>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</si>
  <si>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</si>
  <si>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</si>
  <si>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</si>
  <si>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</si>
  <si>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</si>
  <si>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</si>
  <si>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</si>
  <si>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</si>
  <si>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</si>
  <si>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</si>
  <si>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</si>
  <si>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</si>
  <si>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</si>
  <si>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</si>
  <si>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</si>
  <si>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</si>
  <si>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</si>
  <si>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</si>
  <si>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</si>
  <si>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</si>
  <si>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</si>
  <si>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</si>
  <si>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</si>
  <si>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</si>
  <si>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</si>
  <si>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</si>
  <si>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</si>
  <si>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</si>
  <si>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</si>
  <si>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</si>
  <si>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</si>
  <si>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</si>
  <si>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</si>
  <si>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</si>
  <si>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</si>
  <si>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</si>
  <si>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</si>
  <si>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</si>
  <si>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</si>
  <si>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</si>
  <si>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</si>
  <si>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</si>
  <si>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</si>
  <si>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</si>
  <si>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</si>
  <si>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</si>
  <si>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</si>
  <si>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</si>
  <si>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</si>
  <si>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</si>
  <si>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</si>
  <si>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</si>
  <si>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</si>
  <si>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</si>
  <si>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</si>
  <si>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</si>
  <si>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</si>
  <si>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</si>
  <si>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</si>
  <si>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</si>
  <si>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</si>
  <si>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</si>
  <si>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</si>
  <si>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</si>
  <si>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</si>
  <si>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</si>
  <si>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</si>
  <si>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</si>
  <si>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</si>
  <si>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</si>
  <si>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</si>
  <si>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</si>
  <si>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</si>
  <si>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</si>
  <si>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</si>
  <si>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</si>
  <si>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</si>
  <si>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</si>
  <si>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</si>
  <si>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</si>
  <si>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</si>
  <si>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</si>
  <si>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</si>
  <si>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</si>
  <si>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</si>
  <si>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</si>
  <si>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</si>
  <si>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</si>
  <si>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</si>
  <si>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</si>
  <si>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</si>
  <si>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</si>
  <si>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</si>
  <si>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</si>
  <si>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</si>
  <si>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</si>
  <si>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</si>
  <si>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</si>
  <si>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</si>
  <si>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</si>
  <si>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</si>
  <si>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</si>
  <si>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</si>
  <si>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</si>
  <si>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</si>
  <si>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</si>
  <si>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</si>
  <si>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</si>
  <si>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</si>
  <si>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</si>
  <si>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</si>
  <si>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</si>
  <si>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</si>
  <si>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</si>
  <si>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</si>
  <si>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</si>
  <si>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</si>
  <si>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</si>
  <si>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</si>
  <si>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</si>
  <si>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</si>
  <si>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</si>
  <si>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</si>
  <si>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</si>
  <si>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</si>
  <si>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</si>
  <si>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</si>
  <si>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</si>
  <si>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</si>
  <si>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</si>
  <si>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</si>
  <si>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</si>
  <si>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</si>
  <si>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</si>
  <si>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</si>
  <si>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</si>
  <si>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</si>
  <si>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</si>
  <si>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</si>
  <si>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</si>
  <si>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</si>
  <si>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</si>
  <si>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</si>
  <si>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</si>
  <si>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</si>
  <si>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</si>
  <si>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</si>
  <si>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</si>
  <si>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</si>
  <si>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</si>
  <si>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</si>
  <si>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</si>
  <si>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</si>
  <si>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</si>
  <si>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</si>
  <si>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</si>
  <si>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</si>
  <si>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</si>
  <si>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</si>
  <si>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</si>
  <si>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</si>
  <si>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</si>
  <si>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</si>
  <si>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</si>
  <si>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</si>
  <si>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</si>
  <si>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</si>
  <si>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</si>
  <si>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</si>
  <si>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</si>
  <si>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</si>
  <si>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</si>
  <si>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</si>
  <si>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</si>
  <si>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</si>
  <si>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</si>
  <si>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</si>
  <si>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</si>
  <si>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</si>
  <si>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</si>
  <si>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</si>
  <si>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</si>
  <si>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</si>
  <si>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</si>
  <si>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</si>
  <si>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</si>
  <si>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</si>
  <si>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</si>
  <si>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</si>
  <si>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</si>
  <si>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</si>
  <si>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</si>
  <si>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</si>
  <si>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</si>
  <si>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</si>
  <si>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</si>
  <si>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</si>
  <si>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</si>
  <si>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</si>
  <si>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</si>
  <si>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</si>
  <si>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</si>
  <si>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</si>
  <si>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</si>
  <si>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</si>
  <si>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</si>
  <si>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</si>
  <si>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</si>
  <si>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</si>
  <si>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</si>
  <si>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</si>
  <si>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</si>
  <si>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</si>
  <si>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</si>
  <si>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</si>
  <si>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</si>
  <si>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</si>
  <si>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</si>
  <si>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</si>
  <si>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</si>
  <si>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</si>
  <si>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</si>
  <si>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</si>
  <si>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</si>
  <si>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</si>
  <si>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</si>
  <si>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</si>
  <si>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</si>
  <si>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</si>
  <si>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</si>
  <si>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</si>
  <si>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</si>
  <si>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</si>
  <si>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</si>
  <si>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</si>
  <si>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</si>
  <si>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</si>
  <si>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</si>
  <si>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</si>
  <si>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</si>
  <si>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</si>
  <si>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</si>
  <si>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</si>
  <si>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</si>
  <si>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</si>
  <si>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</si>
  <si>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</si>
  <si>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</si>
  <si>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</si>
  <si>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</si>
  <si>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</si>
  <si>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</si>
  <si>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</si>
  <si>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</si>
  <si>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</si>
  <si>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</si>
  <si>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</si>
  <si>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</si>
  <si>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</si>
  <si>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</si>
  <si>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</si>
  <si>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</si>
  <si>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</si>
  <si>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</si>
  <si>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</si>
  <si>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</si>
  <si>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</si>
  <si>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</si>
  <si>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</si>
  <si>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</si>
  <si>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</si>
  <si>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</si>
  <si>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</si>
  <si>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</si>
  <si>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</si>
  <si>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</si>
  <si>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</si>
  <si>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</si>
  <si>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</si>
  <si>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</si>
  <si>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</si>
  <si>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</si>
  <si>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</si>
  <si>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</si>
  <si>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</si>
  <si>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</si>
  <si>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</si>
  <si>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</si>
  <si>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</si>
  <si>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</si>
  <si>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</si>
  <si>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</si>
  <si>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</si>
  <si>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</si>
  <si>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</si>
  <si>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</si>
  <si>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</si>
  <si>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</si>
  <si>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</si>
  <si>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</si>
  <si>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</si>
  <si>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</si>
  <si>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</si>
  <si>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</si>
  <si>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</si>
  <si>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</si>
  <si>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</si>
  <si>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</si>
  <si>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</si>
  <si>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</si>
  <si>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</si>
  <si>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</si>
  <si>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</si>
  <si>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</si>
  <si>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</si>
  <si>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</si>
  <si>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</si>
  <si>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</si>
  <si>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</si>
  <si>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</si>
  <si>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</si>
  <si>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</si>
  <si>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</si>
  <si>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</si>
  <si>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</si>
  <si>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</si>
  <si>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</si>
  <si>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</si>
  <si>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</si>
  <si>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</si>
  <si>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</si>
  <si>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</si>
  <si>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</si>
  <si>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</si>
  <si>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</si>
  <si>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</si>
  <si>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</si>
  <si>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</si>
  <si>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</si>
  <si>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</si>
  <si>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</si>
  <si>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</si>
  <si>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</si>
  <si>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</si>
  <si>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</si>
  <si>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</si>
  <si>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</si>
  <si>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</si>
  <si>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</si>
  <si>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</si>
  <si>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</si>
  <si>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</si>
  <si>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</si>
  <si>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</si>
  <si>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</si>
  <si>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</si>
  <si>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</si>
  <si>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</si>
  <si>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</si>
  <si>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</si>
  <si>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</si>
  <si>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</si>
  <si>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</si>
  <si>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</si>
  <si>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</si>
  <si>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</si>
  <si>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</si>
  <si>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</si>
  <si>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</si>
  <si>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</si>
  <si>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</si>
  <si>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</si>
  <si>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</si>
  <si>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</si>
  <si>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</si>
  <si>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</si>
  <si>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</si>
  <si>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</si>
  <si>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</si>
  <si>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</si>
  <si>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</si>
  <si>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</si>
  <si>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</si>
  <si>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</si>
  <si>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</si>
  <si>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</si>
  <si>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</si>
  <si>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</si>
  <si>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</si>
  <si>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</si>
  <si>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</si>
  <si>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</si>
  <si>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</si>
  <si>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</si>
  <si>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</si>
  <si>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</si>
  <si>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</si>
  <si>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</si>
  <si>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</si>
  <si>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</si>
  <si>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</si>
  <si>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</si>
  <si>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</si>
  <si>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</si>
  <si>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</si>
  <si>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</si>
  <si>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</si>
  <si>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</si>
  <si>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</si>
  <si>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</si>
  <si>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</si>
  <si>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</si>
  <si>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</si>
  <si>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</si>
  <si>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</si>
  <si>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</si>
  <si>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</si>
  <si>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</si>
  <si>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</si>
  <si>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</si>
  <si>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</si>
  <si>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</si>
  <si>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</si>
  <si>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</si>
  <si>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</si>
  <si>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</si>
  <si>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</si>
  <si>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</si>
  <si>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</si>
  <si>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</si>
  <si>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</si>
  <si>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</si>
  <si>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</si>
  <si>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</si>
  <si>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</si>
  <si>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</si>
  <si>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</si>
  <si>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</si>
  <si>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</si>
  <si>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</si>
  <si>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</si>
  <si>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</si>
  <si>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</si>
  <si>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</si>
  <si>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</si>
  <si>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</si>
  <si>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</si>
  <si>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</si>
  <si>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</si>
  <si>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</si>
  <si>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</si>
  <si>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</si>
  <si>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</si>
  <si>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</si>
  <si>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</si>
  <si>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</si>
  <si>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</si>
  <si>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</si>
  <si>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</si>
  <si>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</si>
  <si>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</si>
  <si>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</si>
  <si>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</si>
  <si>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</si>
  <si>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</si>
  <si>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</si>
  <si>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</si>
  <si>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</si>
  <si>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</si>
  <si>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</si>
  <si>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</si>
  <si>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</si>
  <si>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</si>
  <si>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</si>
  <si>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</si>
  <si>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</si>
  <si>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</si>
  <si>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</si>
  <si>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</si>
  <si>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</si>
  <si>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</si>
  <si>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</si>
  <si>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</si>
  <si>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</si>
  <si>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</si>
  <si>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</si>
  <si>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</si>
  <si>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</si>
  <si>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</si>
  <si>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</si>
  <si>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</si>
  <si>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</si>
  <si>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</si>
  <si>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</si>
  <si>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</si>
  <si>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</si>
  <si>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</si>
  <si>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</si>
  <si>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</si>
  <si>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</si>
  <si>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</si>
  <si>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</si>
  <si>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</si>
  <si>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</si>
  <si>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</si>
  <si>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</si>
  <si>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</si>
  <si>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</si>
  <si>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</si>
  <si>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</si>
  <si>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</si>
  <si>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</si>
  <si>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</si>
  <si>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</si>
  <si>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</si>
  <si>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</si>
  <si>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</si>
  <si>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</si>
  <si>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</si>
  <si>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</si>
  <si>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</si>
  <si>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</si>
  <si>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</si>
  <si>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</si>
  <si>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</si>
  <si>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</si>
  <si>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</si>
  <si>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</si>
  <si>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</si>
  <si>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</si>
  <si>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</si>
  <si>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</si>
  <si>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</si>
  <si>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</si>
  <si>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</si>
  <si>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</si>
  <si>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</si>
  <si>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</si>
  <si>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</si>
  <si>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</si>
  <si>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</si>
  <si>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</si>
  <si>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</si>
  <si>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</si>
  <si>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</si>
  <si>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</si>
  <si>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</si>
  <si>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</si>
  <si>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</si>
  <si>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</si>
  <si>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</si>
  <si>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</si>
  <si>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</si>
  <si>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</si>
  <si>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</si>
  <si>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</si>
  <si>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</si>
  <si>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</si>
  <si>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</si>
  <si>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</si>
  <si>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</si>
  <si>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</si>
  <si>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</si>
  <si>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</si>
  <si>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</si>
  <si>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</si>
  <si>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</si>
  <si>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</si>
  <si>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</si>
  <si>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</si>
  <si>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</si>
  <si>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</si>
  <si>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</si>
  <si>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</si>
  <si>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</si>
  <si>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</si>
  <si>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</si>
  <si>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</si>
  <si>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</si>
  <si>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</si>
  <si>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</si>
  <si>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</si>
  <si>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</si>
  <si>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</si>
  <si>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</si>
  <si>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</si>
  <si>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</si>
  <si>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</si>
  <si>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</si>
  <si>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</si>
  <si>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</si>
  <si>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</si>
  <si>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</si>
  <si>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</si>
  <si>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</si>
  <si>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</si>
  <si>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</si>
  <si>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</si>
  <si>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</si>
  <si>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</si>
  <si>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</si>
  <si>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</si>
  <si>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</si>
  <si>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</si>
  <si>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</si>
  <si>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</si>
  <si>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</si>
  <si>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</si>
  <si>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</si>
  <si>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</si>
  <si>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</si>
  <si>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</si>
  <si>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</si>
  <si>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</si>
  <si>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</si>
  <si>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</si>
  <si>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</si>
  <si>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</si>
  <si>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</si>
  <si>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</si>
  <si>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</si>
  <si>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</si>
  <si>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</si>
  <si>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</si>
  <si>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</si>
  <si>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</si>
  <si>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</si>
  <si>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</si>
  <si>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</si>
  <si>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</si>
  <si>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</si>
  <si>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</si>
  <si>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</si>
  <si>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</si>
  <si>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</si>
  <si>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</si>
  <si>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</si>
  <si>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</si>
  <si>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</si>
  <si>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</si>
  <si>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</si>
  <si>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</si>
  <si>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</si>
  <si>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</si>
  <si>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</si>
  <si>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</si>
  <si>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</si>
  <si>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</si>
  <si>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</si>
  <si>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</si>
  <si>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</si>
  <si>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</si>
  <si>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</si>
  <si>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</si>
  <si>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</si>
  <si>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</si>
  <si>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</si>
  <si>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</si>
  <si>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</si>
  <si>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</si>
  <si>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</si>
  <si>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</si>
  <si>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</si>
  <si>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</si>
  <si>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</si>
  <si>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</si>
  <si>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</si>
  <si>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</si>
  <si>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</si>
  <si>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</si>
  <si>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</si>
  <si>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</si>
  <si>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</si>
  <si>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</si>
  <si>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</si>
  <si>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</si>
  <si>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</si>
  <si>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</si>
  <si>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</si>
  <si>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</si>
  <si>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</si>
  <si>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</si>
  <si>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</si>
  <si>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</si>
  <si>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</si>
  <si>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</si>
  <si>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</si>
  <si>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</si>
  <si>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</si>
  <si>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</si>
  <si>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</si>
  <si>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</si>
  <si>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</si>
  <si>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</si>
  <si>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</si>
  <si>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</si>
  <si>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</si>
  <si>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</si>
  <si>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</si>
  <si>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</si>
  <si>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</si>
  <si>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</si>
  <si>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</si>
  <si>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</si>
  <si>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</si>
  <si>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</si>
  <si>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</si>
  <si>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</si>
  <si>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</si>
  <si>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</si>
  <si>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</si>
  <si>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</si>
  <si>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</si>
  <si>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</si>
  <si>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</si>
  <si>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</si>
  <si>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</si>
  <si>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</si>
  <si>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</si>
  <si>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</si>
  <si>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</si>
  <si>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</si>
  <si>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</si>
  <si>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</si>
  <si>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</si>
  <si>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</si>
  <si>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</si>
  <si>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</si>
  <si>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</si>
  <si>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</si>
  <si>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</si>
  <si>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</si>
  <si>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</si>
  <si>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</si>
  <si>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</si>
  <si>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</si>
  <si>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</si>
  <si>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</si>
  <si>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</si>
  <si>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</si>
  <si>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</si>
  <si>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</si>
  <si>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</si>
  <si>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</si>
  <si>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</si>
  <si>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</si>
  <si>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</si>
  <si>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</si>
  <si>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</si>
  <si>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</si>
  <si>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</si>
  <si>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</si>
  <si>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</si>
  <si>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</si>
  <si>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</si>
  <si>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</si>
  <si>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</si>
  <si>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</si>
  <si>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</si>
  <si>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</si>
  <si>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</si>
  <si>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</si>
  <si>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</si>
  <si>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</si>
  <si>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</si>
  <si>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</si>
  <si>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</si>
  <si>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</si>
  <si>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</si>
  <si>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</si>
  <si>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</si>
  <si>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</si>
  <si>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</si>
  <si>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</si>
  <si>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</si>
  <si>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</si>
  <si>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</si>
  <si>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</si>
  <si>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</si>
  <si>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</si>
  <si>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</si>
  <si>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</si>
  <si>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</si>
  <si>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</si>
  <si>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</si>
  <si>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</si>
  <si>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</si>
  <si>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</si>
  <si>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</si>
  <si>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</si>
  <si>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</si>
  <si>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</si>
  <si>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</si>
  <si>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</si>
  <si>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</si>
  <si>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</si>
  <si>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</si>
  <si>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</si>
  <si>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</si>
  <si>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</si>
  <si>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</si>
  <si>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</si>
  <si>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</si>
  <si>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</si>
  <si>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</si>
  <si>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</si>
  <si>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</si>
  <si>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</si>
  <si>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</si>
  <si>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</si>
  <si>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</si>
  <si>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</si>
  <si>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</si>
  <si>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</si>
  <si>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</si>
  <si>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</si>
  <si>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</si>
  <si>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</si>
  <si>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</si>
  <si>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</si>
  <si>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</si>
  <si>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</si>
  <si>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</si>
  <si>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</si>
  <si>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</si>
  <si>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</si>
  <si>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</si>
  <si>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</si>
  <si>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</si>
  <si>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</si>
  <si>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</si>
  <si>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</si>
  <si>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</si>
  <si>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</si>
  <si>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</si>
  <si>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</si>
  <si>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</si>
  <si>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</si>
  <si>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</si>
  <si>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</si>
  <si>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</si>
  <si>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</si>
  <si>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</si>
  <si>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</si>
  <si>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</si>
  <si>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</si>
  <si>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</si>
  <si>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</si>
  <si>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</si>
  <si>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</si>
  <si>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</si>
  <si>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</si>
  <si>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</si>
  <si>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</si>
  <si>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</si>
  <si>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</si>
  <si>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</si>
  <si>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</si>
  <si>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</si>
  <si>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</si>
  <si>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</si>
  <si>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</si>
  <si>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</si>
  <si>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</si>
  <si>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</si>
  <si>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</si>
  <si>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</si>
  <si>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</si>
  <si>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</si>
  <si>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</si>
  <si>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</si>
  <si>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</si>
  <si>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</si>
  <si>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</si>
  <si>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</si>
  <si>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</si>
  <si>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</si>
  <si>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</si>
  <si>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</si>
  <si>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</si>
  <si>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</si>
  <si>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</si>
  <si>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</si>
  <si>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</si>
  <si>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</si>
  <si>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</si>
  <si>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</si>
  <si>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</si>
  <si>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</si>
  <si>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</si>
  <si>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</si>
  <si>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</si>
  <si>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</si>
  <si>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</si>
  <si>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</si>
  <si>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</si>
  <si>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</si>
  <si>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</si>
  <si>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</si>
  <si>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</si>
  <si>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</si>
  <si>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</si>
  <si>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</si>
  <si>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</si>
  <si>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</si>
  <si>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</si>
  <si>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</si>
  <si>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</si>
  <si>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</si>
  <si>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</si>
  <si>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</si>
  <si>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</si>
  <si>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</si>
  <si>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</si>
  <si>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</si>
  <si>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</si>
  <si>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</si>
  <si>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</si>
  <si>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</si>
  <si>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</si>
  <si>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</si>
  <si>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</si>
  <si>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</si>
  <si>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</si>
  <si>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</si>
  <si>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</si>
  <si>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</si>
  <si>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</si>
  <si>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</si>
  <si>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</si>
  <si>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</si>
  <si>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</si>
  <si>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</si>
  <si>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</si>
  <si>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</si>
  <si>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</si>
  <si>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</si>
  <si>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</si>
  <si>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</si>
  <si>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</si>
  <si>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</si>
  <si>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</si>
  <si>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</si>
  <si>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</si>
  <si>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</si>
  <si>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</si>
  <si>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</si>
  <si>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</si>
  <si>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</si>
  <si>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</si>
  <si>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</si>
  <si>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</si>
  <si>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</si>
  <si>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</si>
  <si>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</si>
  <si>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</si>
  <si>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</si>
  <si>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</si>
  <si>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</si>
  <si>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</si>
  <si>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</si>
  <si>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</si>
  <si>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</si>
  <si>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</si>
  <si>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</si>
  <si>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</si>
  <si>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</si>
  <si>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</si>
  <si>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</si>
  <si>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</si>
  <si>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</si>
  <si>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</si>
  <si>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</si>
  <si>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</si>
  <si>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</si>
  <si>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</si>
  <si>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</si>
  <si>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</si>
  <si>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</si>
  <si>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</si>
  <si>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</si>
  <si>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</si>
  <si>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</si>
  <si>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</si>
  <si>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</si>
  <si>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</si>
  <si>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</si>
  <si>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</si>
  <si>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</si>
  <si>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</si>
  <si>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</si>
  <si>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</si>
  <si>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</si>
  <si>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</si>
  <si>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</si>
  <si>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</si>
  <si>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</si>
  <si>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</si>
  <si>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</si>
  <si>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</si>
  <si>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</si>
  <si>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</si>
  <si>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</si>
  <si>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</si>
  <si>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</si>
  <si>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</si>
  <si>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</si>
  <si>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</si>
  <si>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</si>
  <si>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</si>
  <si>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</si>
  <si>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</si>
  <si>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</si>
  <si>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</si>
  <si>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</si>
  <si>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</si>
  <si>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</si>
  <si>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</si>
  <si>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</si>
  <si>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</si>
  <si>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</si>
  <si>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</si>
  <si>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</si>
  <si>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</si>
  <si>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</si>
  <si>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</si>
  <si>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</si>
  <si>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</si>
  <si>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</si>
  <si>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</si>
  <si>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</si>
  <si>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</si>
  <si>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</si>
  <si>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</si>
  <si>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</si>
  <si>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</si>
  <si>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</si>
  <si>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</si>
  <si>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</si>
  <si>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</si>
  <si>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</si>
  <si>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</si>
  <si>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</si>
  <si>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</si>
  <si>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</si>
  <si>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</si>
  <si>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</si>
  <si>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</si>
  <si>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</si>
  <si>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</si>
  <si>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</si>
  <si>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</si>
  <si>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</si>
  <si>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</si>
  <si>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</si>
  <si>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</si>
  <si>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</si>
  <si>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</si>
  <si>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</si>
  <si>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</si>
  <si>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</si>
  <si>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</si>
  <si>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</si>
  <si>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</si>
  <si>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</si>
  <si>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</si>
  <si>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</si>
  <si>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</si>
  <si>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</si>
  <si>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</si>
  <si>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</si>
  <si>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</si>
  <si>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</si>
  <si>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</si>
  <si>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</si>
  <si>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</si>
  <si>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</si>
  <si>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</si>
  <si>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</si>
  <si>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</si>
  <si>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</si>
  <si>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</si>
  <si>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</si>
  <si>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</si>
  <si>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</si>
  <si>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</si>
  <si>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</si>
  <si>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</si>
  <si>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</si>
  <si>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</si>
  <si>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</si>
  <si>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</si>
  <si>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</si>
  <si>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</si>
  <si>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</si>
  <si>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</si>
  <si>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</si>
  <si>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</si>
  <si>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</si>
  <si>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</si>
  <si>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</si>
  <si>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</si>
  <si>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</si>
  <si>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</si>
  <si>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</si>
  <si>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</si>
  <si>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</si>
  <si>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</si>
  <si>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</si>
  <si>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</si>
  <si>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</si>
  <si>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</si>
  <si>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</si>
  <si>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</si>
  <si>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</si>
  <si>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</si>
  <si>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</si>
  <si>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</si>
  <si>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</si>
  <si>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</si>
  <si>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</si>
  <si>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</si>
  <si>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</si>
  <si>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</si>
  <si>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</si>
  <si>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</si>
  <si>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</si>
  <si>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</si>
  <si>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</si>
  <si>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</si>
  <si>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</si>
  <si>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</si>
  <si>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</si>
  <si>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</si>
  <si>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</si>
  <si>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</si>
  <si>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</si>
  <si>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</si>
  <si>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</si>
  <si>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</si>
  <si>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</si>
  <si>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</si>
  <si>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</si>
  <si>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</si>
  <si>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</si>
  <si>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</si>
  <si>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</si>
  <si>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</si>
  <si>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</si>
  <si>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</si>
  <si>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</si>
  <si>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</si>
  <si>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</si>
  <si>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</si>
  <si>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</si>
  <si>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</si>
  <si>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</si>
  <si>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</si>
  <si>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</si>
  <si>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</si>
  <si>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</si>
  <si>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</si>
  <si>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</si>
  <si>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</si>
  <si>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</si>
  <si>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</si>
  <si>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</si>
  <si>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</si>
  <si>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</si>
  <si>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</si>
  <si>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</si>
  <si>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</si>
  <si>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</si>
  <si>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</si>
  <si>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</si>
  <si>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</si>
  <si>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</si>
  <si>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</si>
  <si>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</si>
  <si>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</si>
  <si>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</si>
  <si>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</si>
  <si>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</si>
  <si>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</si>
  <si>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</si>
  <si>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</si>
  <si>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</si>
  <si>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</si>
  <si>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</si>
  <si>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</si>
  <si>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</si>
  <si>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</si>
  <si>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</si>
  <si>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</si>
  <si>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</si>
  <si>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</si>
  <si>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</si>
  <si>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</si>
  <si>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</si>
  <si>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</si>
  <si>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</si>
  <si>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</si>
  <si>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</si>
  <si>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</si>
  <si>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</si>
  <si>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</si>
  <si>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</si>
  <si>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</si>
  <si>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</si>
  <si>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</si>
  <si>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</si>
  <si>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</si>
  <si>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</si>
  <si>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</si>
  <si>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</si>
  <si>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</si>
  <si>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</si>
  <si>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</si>
  <si>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</si>
  <si>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</si>
  <si>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</si>
  <si>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</si>
  <si>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</si>
  <si>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</si>
  <si>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</si>
  <si>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</si>
  <si>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</si>
  <si>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</si>
  <si>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</si>
  <si>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</si>
  <si>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</si>
  <si>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</si>
  <si>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</si>
  <si>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</si>
  <si>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</si>
  <si>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</si>
  <si>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</si>
  <si>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</si>
  <si>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</si>
  <si>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</si>
  <si>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</si>
  <si>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</si>
  <si>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</si>
  <si>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</si>
  <si>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</si>
  <si>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</si>
  <si>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</si>
  <si>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</si>
  <si>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</si>
  <si>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</si>
  <si>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</si>
  <si>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</si>
  <si>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</si>
  <si>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</si>
  <si>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</si>
  <si>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</si>
  <si>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</si>
  <si>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</si>
  <si>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</si>
  <si>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</si>
  <si>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</si>
  <si>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</si>
  <si>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</si>
  <si>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</si>
  <si>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</si>
  <si>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</si>
  <si>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</si>
  <si>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</si>
  <si>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</si>
  <si>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</si>
  <si>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</si>
  <si>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</si>
  <si>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</si>
  <si>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</si>
  <si>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</si>
  <si>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</si>
  <si>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</si>
  <si>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</si>
  <si>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</si>
  <si>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</si>
  <si>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</si>
  <si>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</si>
  <si>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</si>
  <si>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</si>
  <si>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</si>
  <si>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</si>
  <si>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</si>
  <si>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</si>
  <si>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</si>
  <si>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</si>
  <si>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</si>
  <si>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</si>
  <si>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</si>
  <si>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</si>
  <si>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</si>
  <si>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</si>
  <si>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</si>
  <si>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</si>
  <si>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</si>
  <si>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</si>
  <si>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</si>
  <si>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</si>
  <si>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</si>
  <si>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</si>
  <si>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</si>
  <si>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</si>
  <si>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</si>
  <si>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</si>
  <si>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</si>
  <si>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</si>
  <si>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</si>
  <si>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</si>
  <si>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</si>
  <si>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</si>
  <si>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</si>
  <si>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</si>
  <si>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</si>
  <si>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</si>
  <si>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</si>
  <si>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</si>
  <si>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</si>
  <si>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</si>
  <si>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</si>
  <si>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</si>
  <si>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</si>
  <si>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</si>
  <si>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</si>
  <si>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</si>
  <si>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</si>
  <si>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</si>
  <si>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</si>
  <si>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</si>
  <si>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</si>
  <si>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</si>
  <si>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</si>
  <si>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</si>
  <si>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</si>
  <si>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</si>
  <si>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</si>
  <si>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</si>
  <si>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</si>
  <si>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</si>
  <si>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</si>
  <si>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</si>
  <si>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</si>
  <si>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</si>
  <si>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</si>
  <si>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</si>
  <si>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</si>
  <si>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</si>
  <si>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</si>
  <si>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</si>
  <si>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</si>
  <si>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</si>
  <si>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</si>
  <si>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</si>
  <si>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</si>
  <si>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</si>
  <si>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</si>
  <si>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</si>
  <si>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</si>
  <si>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</si>
  <si>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</si>
  <si>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</si>
  <si>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</si>
  <si>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</si>
  <si>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</si>
  <si>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</si>
  <si>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</si>
  <si>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</si>
  <si>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</si>
  <si>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</si>
  <si>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</si>
  <si>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</si>
  <si>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</si>
  <si>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</si>
  <si>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</si>
  <si>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</si>
  <si>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</si>
  <si>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</si>
  <si>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</si>
  <si>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</si>
  <si>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</si>
  <si>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</si>
  <si>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</si>
  <si>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</si>
  <si>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</si>
  <si>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</si>
  <si>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</si>
  <si>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</si>
  <si>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</si>
  <si>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</si>
  <si>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</si>
  <si>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</si>
  <si>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</si>
  <si>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</si>
  <si>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</si>
  <si>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</si>
  <si>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</si>
  <si>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</si>
  <si>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</si>
  <si>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</si>
  <si>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</si>
  <si>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</si>
  <si>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</si>
  <si>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</si>
  <si>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</si>
  <si>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</si>
  <si>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</si>
  <si>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</si>
  <si>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</si>
  <si>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</si>
  <si>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</si>
  <si>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</si>
  <si>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</si>
  <si>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</si>
  <si>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</si>
  <si>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</si>
  <si>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</si>
  <si>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</si>
  <si>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</si>
  <si>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</si>
  <si>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</si>
  <si>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</si>
  <si>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</si>
  <si>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</si>
  <si>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</si>
  <si>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</si>
  <si>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</si>
  <si>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</si>
  <si>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</si>
  <si>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</si>
  <si>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</si>
  <si>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</si>
  <si>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</si>
  <si>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</si>
  <si>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</si>
  <si>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</si>
  <si>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</si>
  <si>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</si>
  <si>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</si>
  <si>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</si>
  <si>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</si>
  <si>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</si>
  <si>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</si>
  <si>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</si>
  <si>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</si>
  <si>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</si>
  <si>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</si>
  <si>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</si>
  <si>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</si>
  <si>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</si>
  <si>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</si>
  <si>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</si>
  <si>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</si>
  <si>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</si>
  <si>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</si>
  <si>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</si>
  <si>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</si>
  <si>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</si>
  <si>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</si>
  <si>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</si>
  <si>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</si>
  <si>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</si>
  <si>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</si>
  <si>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</si>
  <si>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</si>
  <si>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</si>
  <si>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</si>
  <si>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</si>
  <si>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</si>
  <si>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</si>
  <si>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</si>
  <si>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</si>
  <si>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</si>
  <si>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</si>
  <si>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</si>
  <si>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</si>
  <si>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</si>
  <si>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</si>
  <si>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</si>
  <si>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</si>
  <si>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</si>
  <si>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</si>
  <si>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</si>
  <si>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</si>
  <si>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</si>
  <si>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</si>
  <si>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</si>
  <si>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</si>
  <si>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</si>
  <si>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</si>
  <si>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</si>
  <si>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</si>
  <si>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</si>
  <si>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</si>
  <si>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</si>
  <si>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</si>
  <si>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</si>
  <si>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</si>
  <si>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</si>
  <si>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</si>
  <si>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</si>
  <si>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</si>
  <si>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</si>
  <si>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</si>
  <si>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</si>
  <si>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</si>
  <si>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</si>
  <si>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</si>
  <si>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</si>
  <si>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</si>
  <si>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</si>
  <si>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</si>
  <si>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</si>
  <si>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</si>
  <si>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</si>
  <si>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</si>
  <si>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</si>
  <si>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</si>
  <si>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</si>
  <si>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</si>
  <si>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</si>
  <si>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</si>
  <si>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</si>
  <si>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</si>
  <si>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</si>
  <si>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</si>
  <si>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</si>
  <si>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</si>
  <si>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</si>
  <si>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</si>
  <si>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</si>
  <si>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</si>
  <si>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</si>
  <si>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</si>
  <si>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</si>
  <si>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</si>
  <si>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</si>
  <si>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</si>
  <si>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</si>
  <si>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</si>
  <si>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</si>
  <si>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</si>
  <si>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</si>
  <si>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</si>
  <si>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</si>
  <si>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</si>
  <si>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</si>
  <si>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</si>
  <si>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</si>
  <si>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</si>
  <si>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</si>
  <si>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</si>
  <si>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</si>
  <si>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</si>
  <si>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</si>
  <si>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</si>
  <si>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</si>
  <si>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</si>
  <si>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</si>
  <si>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</si>
  <si>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</si>
  <si>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</si>
  <si>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</si>
  <si>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</si>
  <si>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</si>
  <si>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</si>
  <si>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</si>
  <si>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</si>
  <si>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</si>
  <si>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</si>
  <si>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</si>
  <si>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</si>
  <si>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</si>
  <si>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</si>
  <si>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</si>
  <si>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</si>
  <si>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</si>
  <si>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</si>
  <si>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</si>
  <si>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</si>
  <si>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</si>
  <si>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</si>
  <si>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</si>
  <si>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</si>
  <si>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</si>
  <si>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</si>
  <si>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</si>
  <si>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</si>
  <si>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</si>
  <si>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</si>
  <si>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</si>
  <si>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</si>
  <si>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</si>
  <si>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</si>
  <si>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</si>
  <si>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</si>
  <si>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</si>
  <si>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</si>
  <si>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</si>
  <si>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</si>
  <si>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</si>
  <si>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</si>
  <si>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</si>
  <si>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</si>
  <si>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</si>
  <si>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</si>
  <si>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</si>
  <si>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</si>
  <si>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</si>
  <si>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</si>
  <si>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</si>
  <si>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</si>
  <si>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</si>
  <si>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</si>
  <si>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</si>
  <si>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</si>
  <si>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</si>
  <si>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</si>
  <si>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</si>
  <si>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</si>
  <si>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</si>
  <si>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</si>
  <si>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</si>
  <si>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</si>
  <si>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</si>
  <si>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</si>
  <si>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</si>
  <si>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</si>
  <si>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</si>
  <si>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</si>
  <si>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</si>
  <si>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</si>
  <si>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</si>
  <si>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</si>
  <si>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</si>
  <si>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</si>
  <si>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</si>
  <si>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</si>
  <si>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</si>
  <si>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</si>
  <si>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</si>
  <si>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</si>
  <si>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</si>
  <si>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</si>
  <si>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</si>
  <si>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</si>
  <si>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</si>
  <si>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</si>
  <si>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</si>
  <si>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</si>
  <si>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</si>
  <si>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</si>
  <si>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</si>
  <si>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</si>
  <si>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</si>
  <si>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</si>
  <si>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</si>
  <si>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</si>
  <si>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</si>
  <si>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</si>
  <si>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</si>
  <si>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</si>
  <si>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</si>
  <si>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</si>
  <si>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</si>
  <si>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</si>
  <si>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</si>
  <si>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</si>
  <si>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</si>
  <si>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</si>
  <si>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</si>
  <si>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</si>
  <si>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</si>
  <si>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</si>
  <si>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</si>
  <si>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</si>
  <si>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</si>
  <si>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</si>
  <si>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</si>
  <si>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</si>
  <si>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</si>
  <si>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</si>
  <si>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</si>
  <si>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</si>
  <si>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</si>
  <si>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</si>
  <si>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</si>
  <si>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</si>
  <si>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</si>
  <si>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</si>
  <si>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</si>
  <si>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</si>
  <si>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</si>
  <si>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</si>
  <si>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</si>
  <si>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</si>
  <si>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</si>
  <si>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</si>
  <si>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</si>
  <si>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</si>
  <si>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</si>
  <si>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</si>
  <si>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</si>
  <si>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</si>
  <si>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</si>
  <si>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</si>
  <si>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</si>
  <si>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</si>
  <si>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</si>
  <si>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</si>
  <si>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</si>
  <si>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</si>
  <si>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</si>
  <si>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</si>
  <si>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</si>
  <si>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</si>
  <si>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</si>
  <si>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</si>
  <si>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</si>
  <si>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</si>
  <si>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</si>
  <si>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</si>
  <si>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</si>
  <si>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</si>
  <si>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</si>
  <si>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</si>
  <si>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</si>
  <si>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</si>
  <si>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</si>
  <si>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</si>
  <si>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</si>
  <si>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</si>
  <si>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</si>
  <si>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</si>
  <si>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</si>
  <si>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</si>
  <si>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</si>
  <si>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</si>
  <si>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</si>
  <si>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</si>
  <si>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</si>
  <si>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</si>
  <si>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</si>
  <si>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</si>
  <si>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</si>
  <si>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</si>
  <si>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</si>
  <si>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</si>
  <si>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</si>
  <si>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</si>
  <si>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</si>
  <si>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</si>
  <si>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</si>
  <si>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</si>
  <si>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</si>
  <si>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</si>
  <si>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</si>
  <si>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</si>
  <si>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</si>
  <si>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</si>
  <si>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</si>
  <si>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</si>
  <si>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</si>
  <si>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</si>
  <si>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</si>
  <si>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</si>
  <si>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</si>
  <si>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</si>
  <si>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</si>
  <si>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</si>
  <si>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</si>
  <si>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</si>
  <si>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</si>
  <si>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</si>
  <si>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</si>
  <si>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</si>
  <si>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</si>
  <si>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</si>
  <si>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</si>
  <si>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</si>
  <si>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</si>
  <si>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</si>
  <si>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</si>
  <si>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</si>
  <si>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</si>
  <si>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</si>
  <si>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</si>
  <si>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</si>
  <si>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</si>
  <si>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</si>
  <si>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</si>
  <si>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</si>
  <si>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</si>
  <si>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</si>
  <si>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</si>
  <si>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</si>
  <si>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</si>
  <si>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</si>
  <si>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</si>
  <si>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</si>
  <si>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</si>
  <si>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</si>
  <si>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</si>
  <si>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</si>
  <si>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</si>
  <si>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</si>
  <si>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</si>
  <si>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</si>
  <si>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</si>
  <si>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</si>
  <si>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</si>
  <si>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</si>
  <si>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</si>
  <si>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</si>
  <si>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</si>
  <si>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</si>
  <si>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</si>
  <si>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</si>
  <si>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</si>
  <si>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</si>
  <si>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</si>
  <si>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</si>
  <si>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</si>
  <si>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</si>
  <si>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</si>
  <si>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</si>
  <si>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</si>
  <si>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</si>
  <si>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</si>
  <si>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</si>
  <si>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</si>
  <si>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</si>
  <si>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</si>
  <si>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</si>
  <si>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</si>
  <si>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</si>
  <si>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</si>
  <si>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</si>
  <si>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</si>
  <si>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</si>
  <si>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</si>
  <si>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</si>
  <si>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</si>
  <si>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</si>
  <si>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</si>
  <si>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</si>
  <si>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</si>
  <si>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</si>
  <si>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</si>
  <si>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</si>
  <si>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</si>
  <si>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</si>
  <si>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</si>
  <si>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</si>
  <si>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</si>
  <si>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</si>
  <si>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</si>
  <si>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</si>
  <si>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</si>
  <si>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</si>
  <si>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</si>
  <si>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</si>
  <si>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</si>
  <si>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</si>
  <si>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</si>
  <si>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</si>
  <si>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</si>
  <si>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</si>
  <si>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</si>
  <si>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</si>
  <si>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</si>
  <si>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</si>
  <si>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</si>
  <si>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</si>
  <si>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</si>
  <si>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</si>
  <si>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</si>
  <si>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</si>
  <si>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</si>
  <si>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</si>
  <si>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</si>
  <si>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</si>
  <si>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</si>
  <si>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</si>
  <si>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</si>
  <si>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</si>
  <si>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</si>
  <si>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</si>
  <si>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</si>
  <si>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</si>
  <si>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</si>
  <si>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</si>
  <si>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</si>
  <si>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</si>
  <si>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</si>
  <si>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</si>
  <si>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</si>
  <si>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</si>
  <si>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</si>
  <si>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</si>
  <si>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</si>
  <si>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</si>
  <si>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</si>
  <si>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</si>
  <si>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</si>
  <si>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</si>
  <si>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</si>
  <si>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</si>
  <si>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</si>
  <si>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</si>
  <si>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</si>
  <si>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</si>
  <si>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</si>
  <si>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</si>
  <si>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</si>
  <si>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</si>
  <si>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</si>
  <si>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</si>
  <si>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</si>
  <si>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</si>
  <si>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</si>
  <si>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</si>
  <si>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</si>
  <si>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</si>
  <si>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</si>
  <si>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</si>
  <si>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</si>
  <si>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</si>
  <si>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</si>
  <si>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</si>
  <si>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</si>
  <si>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</si>
  <si>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</si>
  <si>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</si>
  <si>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</si>
  <si>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</si>
  <si>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</si>
  <si>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</si>
  <si>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</si>
  <si>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</si>
  <si>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</si>
  <si>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</si>
  <si>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</si>
  <si>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</si>
  <si>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</si>
  <si>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</si>
  <si>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</si>
  <si>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</si>
  <si>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</si>
  <si>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</si>
  <si>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</si>
  <si>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</si>
  <si>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</si>
  <si>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</si>
  <si>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</si>
  <si>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</si>
  <si>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</si>
  <si>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</si>
  <si>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</si>
  <si>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</si>
  <si>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</si>
  <si>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</si>
  <si>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</si>
  <si>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</si>
  <si>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</si>
  <si>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</si>
  <si>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</si>
  <si>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</si>
  <si>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</si>
  <si>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</si>
  <si>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</si>
  <si>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</si>
  <si>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</si>
  <si>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</si>
  <si>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</si>
  <si>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</si>
  <si>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</si>
  <si>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</si>
  <si>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</si>
  <si>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</si>
  <si>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</si>
  <si>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</si>
  <si>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</si>
  <si>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</si>
  <si>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</si>
  <si>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</si>
  <si>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</si>
  <si>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</si>
  <si>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</si>
  <si>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</si>
  <si>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</si>
  <si>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</si>
  <si>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</si>
  <si>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</si>
  <si>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</si>
  <si>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</si>
  <si>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</si>
  <si>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</si>
  <si>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</si>
  <si>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</si>
  <si>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</si>
  <si>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</si>
  <si>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</si>
  <si>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</si>
  <si>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</si>
  <si>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</si>
  <si>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</si>
  <si>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</si>
  <si>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</si>
  <si>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</si>
  <si>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</si>
  <si>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</si>
  <si>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</si>
  <si>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</si>
  <si>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</si>
  <si>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</si>
  <si>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</si>
  <si>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</si>
  <si>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</si>
  <si>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</si>
  <si>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</si>
  <si>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</si>
  <si>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</si>
  <si>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</si>
  <si>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</si>
  <si>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</si>
  <si>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</si>
  <si>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</si>
  <si>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</si>
  <si>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</si>
  <si>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</si>
  <si>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</si>
  <si>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</si>
  <si>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</si>
  <si>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</si>
  <si>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</si>
  <si>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</si>
  <si>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</si>
  <si>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</si>
  <si>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</si>
  <si>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</si>
  <si>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</si>
  <si>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</si>
  <si>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</si>
  <si>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</si>
  <si>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</si>
  <si>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</si>
  <si>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</si>
  <si>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</si>
  <si>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</si>
  <si>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</si>
  <si>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</si>
  <si>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</si>
  <si>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</si>
  <si>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</si>
  <si>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</si>
  <si>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</si>
  <si>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</si>
  <si>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</si>
  <si>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</si>
  <si>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</si>
  <si>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</si>
  <si>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</si>
  <si>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</si>
  <si>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</si>
  <si>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</si>
  <si>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</si>
  <si>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</si>
  <si>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</si>
  <si>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</si>
  <si>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</si>
  <si>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</si>
  <si>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</si>
  <si>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</si>
  <si>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</si>
  <si>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</si>
  <si>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</si>
  <si>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</si>
  <si>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</si>
  <si>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</si>
  <si>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</si>
  <si>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</si>
  <si>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</si>
  <si>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</si>
  <si>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</si>
  <si>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</si>
  <si>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</si>
  <si>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</si>
  <si>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</si>
  <si>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</si>
  <si>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</si>
  <si>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</si>
  <si>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</si>
  <si>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</si>
  <si>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</si>
  <si>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</si>
  <si>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</si>
  <si>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</si>
  <si>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</si>
  <si>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</si>
  <si>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</si>
  <si>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</si>
  <si>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</si>
  <si>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</si>
  <si>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</si>
  <si>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</si>
  <si>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</si>
  <si>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</si>
  <si>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</si>
  <si>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</si>
  <si>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</si>
  <si>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</si>
  <si>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</si>
  <si>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</si>
  <si>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</si>
  <si>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</si>
  <si>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</si>
  <si>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</si>
  <si>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</si>
  <si>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</si>
  <si>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</si>
  <si>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</si>
  <si>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</si>
  <si>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</si>
  <si>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</si>
  <si>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</si>
  <si>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</si>
  <si>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</si>
  <si>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</si>
  <si>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</si>
  <si>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</si>
  <si>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</si>
  <si>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</si>
  <si>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</si>
  <si>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</si>
  <si>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</si>
  <si>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</si>
  <si>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</si>
  <si>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</si>
  <si>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</si>
  <si>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</si>
  <si>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</si>
  <si>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</si>
  <si>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</si>
  <si>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</si>
  <si>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</si>
  <si>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</si>
  <si>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</si>
  <si>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</si>
  <si>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</si>
  <si>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</si>
  <si>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</si>
  <si>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</si>
  <si>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</si>
  <si>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</si>
  <si>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</si>
  <si>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</si>
  <si>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</si>
  <si>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</si>
  <si>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</si>
  <si>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</si>
  <si>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</si>
  <si>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</si>
  <si>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</si>
  <si>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</si>
  <si>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</si>
  <si>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</si>
  <si>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</si>
  <si>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</si>
  <si>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</si>
  <si>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</si>
  <si>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</si>
  <si>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</si>
  <si>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</si>
  <si>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</si>
  <si>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</si>
  <si>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</si>
  <si>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</si>
  <si>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</si>
  <si>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</si>
  <si>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</si>
  <si>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</si>
  <si>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</si>
  <si>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</si>
  <si>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</si>
  <si>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</si>
  <si>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</si>
  <si>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</si>
  <si>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</si>
  <si>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</si>
  <si>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</si>
  <si>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</si>
  <si>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</si>
  <si>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</si>
  <si>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</si>
  <si>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</si>
  <si>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</si>
  <si>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</si>
  <si>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</si>
  <si>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</si>
  <si>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</si>
  <si>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</si>
  <si>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</si>
  <si>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</si>
  <si>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</si>
  <si>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</si>
  <si>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</si>
  <si>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</si>
  <si>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</si>
  <si>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</si>
  <si>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</si>
  <si>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</si>
  <si>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</si>
  <si>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</si>
  <si>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</si>
  <si>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</si>
  <si>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</si>
  <si>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</si>
  <si>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</si>
  <si>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</si>
  <si>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</si>
  <si>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</si>
  <si>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</si>
  <si>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</si>
  <si>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</si>
  <si>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</si>
  <si>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</si>
  <si>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</si>
  <si>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</si>
  <si>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</si>
  <si>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</si>
  <si>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</si>
  <si>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</si>
  <si>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</si>
  <si>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</si>
  <si>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</si>
  <si>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</si>
  <si>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</si>
  <si>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</si>
  <si>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</si>
  <si>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</si>
  <si>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</si>
  <si>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</si>
  <si>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</si>
  <si>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</si>
  <si>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</si>
  <si>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</si>
  <si>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</si>
  <si>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</si>
  <si>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</si>
  <si>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</si>
  <si>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</si>
  <si>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</si>
  <si>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</si>
  <si>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</si>
  <si>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</si>
  <si>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</si>
  <si>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</si>
  <si>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</si>
  <si>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</si>
  <si>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</si>
  <si>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</si>
  <si>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</si>
  <si>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</si>
  <si>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</si>
  <si>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</si>
  <si>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</si>
  <si>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</si>
  <si>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</si>
  <si>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</si>
  <si>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</si>
  <si>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</si>
  <si>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</si>
  <si>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</si>
  <si>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</si>
  <si>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</si>
  <si>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</si>
  <si>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</si>
  <si>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</si>
  <si>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</si>
  <si>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</si>
  <si>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</si>
  <si>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</si>
  <si>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</si>
  <si>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</si>
  <si>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</si>
  <si>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</si>
  <si>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</si>
  <si>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</si>
  <si>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</si>
  <si>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</si>
  <si>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</si>
  <si>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</si>
  <si>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</si>
  <si>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</si>
  <si>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</si>
  <si>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</si>
  <si>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</si>
  <si>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</si>
  <si>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</si>
  <si>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</si>
  <si>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</si>
  <si>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</si>
  <si>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</si>
  <si>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</si>
  <si>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</si>
  <si>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</si>
  <si>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</si>
  <si>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</si>
  <si>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</si>
  <si>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</si>
  <si>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</si>
  <si>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</si>
  <si>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</si>
  <si>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</si>
  <si>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</si>
  <si>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</si>
  <si>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</si>
  <si>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</si>
  <si>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</si>
  <si>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</si>
  <si>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</si>
  <si>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</si>
  <si>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</si>
  <si>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</si>
  <si>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</si>
  <si>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</si>
  <si>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</si>
  <si>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</si>
  <si>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</si>
  <si>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</si>
  <si>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</si>
  <si>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</si>
  <si>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</si>
  <si>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</si>
  <si>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</si>
  <si>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</si>
  <si>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</si>
  <si>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</si>
  <si>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</si>
  <si>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</si>
  <si>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</si>
  <si>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</si>
  <si>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</si>
  <si>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</si>
  <si>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</si>
  <si>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</si>
  <si>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</si>
  <si>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</si>
  <si>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</si>
  <si>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</si>
  <si>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</si>
  <si>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</si>
  <si>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</si>
  <si>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</si>
  <si>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</si>
  <si>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</si>
  <si>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</si>
  <si>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</si>
  <si>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</si>
  <si>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</si>
  <si>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</si>
  <si>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</si>
  <si>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</si>
  <si>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</si>
  <si>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</si>
  <si>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</si>
  <si>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</si>
  <si>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</si>
  <si>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</si>
  <si>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</si>
  <si>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</si>
  <si>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</si>
  <si>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</si>
  <si>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</si>
  <si>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</si>
  <si>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</si>
  <si>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</si>
  <si>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</si>
  <si>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</si>
  <si>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</si>
  <si>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</si>
  <si>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</si>
  <si>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</si>
  <si>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</si>
  <si>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</si>
  <si>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</si>
  <si>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</si>
  <si>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</si>
  <si>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</si>
  <si>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</si>
  <si>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</si>
  <si>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</si>
  <si>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</si>
  <si>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</si>
  <si>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</si>
  <si>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</si>
  <si>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</si>
  <si>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</si>
  <si>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</si>
  <si>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</si>
  <si>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</si>
  <si>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</si>
  <si>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</si>
  <si>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</si>
  <si>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</si>
  <si>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</si>
  <si>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</si>
  <si>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</si>
  <si>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</si>
  <si>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</si>
  <si>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</si>
  <si>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</si>
  <si>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</si>
  <si>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</si>
  <si>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</si>
  <si>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</si>
  <si>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</si>
  <si>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</si>
  <si>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</si>
  <si>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</si>
  <si>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</si>
  <si>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</si>
  <si>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</si>
  <si>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</si>
  <si>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</si>
  <si>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</si>
  <si>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</si>
  <si>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</si>
  <si>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</si>
  <si>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</si>
  <si>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</si>
  <si>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</si>
  <si>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</si>
  <si>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</si>
  <si>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</si>
  <si>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</si>
  <si>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</si>
  <si>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</si>
  <si>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</si>
  <si>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</si>
  <si>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</si>
  <si>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</si>
  <si>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</si>
  <si>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</si>
  <si>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</si>
  <si>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</si>
  <si>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</si>
  <si>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</si>
  <si>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</si>
  <si>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</si>
  <si>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</si>
  <si>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</si>
  <si>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</si>
  <si>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</si>
  <si>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</si>
  <si>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</si>
  <si>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</si>
  <si>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</si>
  <si>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</si>
  <si>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</si>
  <si>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</si>
  <si>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</si>
  <si>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</si>
  <si>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</si>
  <si>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</si>
  <si>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</si>
  <si>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</si>
  <si>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</si>
  <si>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</si>
  <si>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</si>
  <si>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</si>
  <si>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</si>
  <si>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</si>
  <si>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</si>
  <si>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</si>
  <si>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</si>
  <si>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</si>
  <si>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</si>
  <si>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</si>
  <si>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</si>
  <si>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</si>
  <si>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</si>
  <si>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</si>
  <si>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</si>
  <si>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</si>
  <si>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</si>
  <si>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</si>
  <si>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</si>
  <si>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</si>
  <si>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</si>
  <si>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</si>
  <si>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</si>
  <si>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</si>
  <si>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</si>
  <si>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</si>
  <si>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</si>
  <si>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</si>
  <si>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</si>
  <si>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</si>
  <si>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</si>
  <si>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</si>
  <si>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</si>
  <si>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</si>
  <si>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</si>
  <si>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</si>
  <si>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</si>
  <si>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</si>
  <si>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</si>
  <si>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</si>
  <si>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</si>
  <si>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</si>
  <si>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</si>
  <si>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</si>
  <si>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</si>
  <si>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</si>
  <si>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</si>
  <si>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</si>
  <si>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</si>
  <si>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</si>
  <si>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</si>
  <si>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</si>
  <si>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</si>
  <si>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</si>
  <si>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</si>
  <si>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</si>
  <si>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</si>
  <si>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</si>
  <si>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</si>
  <si>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</si>
  <si>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</si>
  <si>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</si>
  <si>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</si>
  <si>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</si>
  <si>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</si>
  <si>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</si>
  <si>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</si>
  <si>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</si>
  <si>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</si>
  <si>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</si>
  <si>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</si>
  <si>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</si>
  <si>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</si>
  <si>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</si>
  <si>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</si>
  <si>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</si>
  <si>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</si>
  <si>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</si>
  <si>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</si>
  <si>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</si>
  <si>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</si>
  <si>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</si>
  <si>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</si>
  <si>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</si>
  <si>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</si>
  <si>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</si>
  <si>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</si>
  <si>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</si>
  <si>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</si>
  <si>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</si>
  <si>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</si>
  <si>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</si>
  <si>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</si>
  <si>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</si>
  <si>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</si>
  <si>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</si>
  <si>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</si>
  <si>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</si>
  <si>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</si>
  <si>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</si>
  <si>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</si>
  <si>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</si>
  <si>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</si>
  <si>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</si>
  <si>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</si>
  <si>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</si>
  <si>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</si>
  <si>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</si>
  <si>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</si>
  <si>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</si>
  <si>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</si>
  <si>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</si>
  <si>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</si>
  <si>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</si>
  <si>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</si>
  <si>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</si>
  <si>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</si>
  <si>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</si>
  <si>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</si>
  <si>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</si>
  <si>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</si>
  <si>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</si>
  <si>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</si>
  <si>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</si>
  <si>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</si>
  <si>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</si>
  <si>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</si>
  <si>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</si>
  <si>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</si>
  <si>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</si>
  <si>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</si>
  <si>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</si>
  <si>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</si>
  <si>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</si>
  <si>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</si>
  <si>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</si>
  <si>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</si>
  <si>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</si>
  <si>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</si>
  <si>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</si>
  <si>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</si>
  <si>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</si>
  <si>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</si>
  <si>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</si>
  <si>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</si>
  <si>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</si>
  <si>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</si>
  <si>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</si>
  <si>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</si>
  <si>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</si>
  <si>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</si>
  <si>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</si>
  <si>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</si>
  <si>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</si>
  <si>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</si>
  <si>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</si>
  <si>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</si>
  <si>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</si>
  <si>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</si>
  <si>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</si>
  <si>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</si>
  <si>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</si>
  <si>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</si>
  <si>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</si>
  <si>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</si>
  <si>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</si>
  <si>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</si>
  <si>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</si>
  <si>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</si>
  <si>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</si>
  <si>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</si>
  <si>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</si>
  <si>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</si>
  <si>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</si>
  <si>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</si>
  <si>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</si>
  <si>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</si>
  <si>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</si>
  <si>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</si>
  <si>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</si>
  <si>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</si>
  <si>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</si>
  <si>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</si>
  <si>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</si>
  <si>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</si>
  <si>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</si>
  <si>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</si>
  <si>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</si>
  <si>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</si>
  <si>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</si>
  <si>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</si>
  <si>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</si>
  <si>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</si>
  <si>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</si>
  <si>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</si>
  <si>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</si>
  <si>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</si>
  <si>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</si>
  <si>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</si>
  <si>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</si>
  <si>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</si>
  <si>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</si>
  <si>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</si>
  <si>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</si>
  <si>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</si>
  <si>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</si>
  <si>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</si>
  <si>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</si>
  <si>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</si>
  <si>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</si>
  <si>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</si>
  <si>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</si>
  <si>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</si>
  <si>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</si>
  <si>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</si>
  <si>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</si>
  <si>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</si>
  <si>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</si>
  <si>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</si>
  <si>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</si>
  <si>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</si>
  <si>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</si>
  <si>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</si>
  <si>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</si>
  <si>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</si>
  <si>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</si>
  <si>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</si>
  <si>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</si>
  <si>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</si>
  <si>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</si>
  <si>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</si>
  <si>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</si>
  <si>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</si>
  <si>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</si>
  <si>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</si>
  <si>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</si>
  <si>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</si>
  <si>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</si>
  <si>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</si>
  <si>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</si>
  <si>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</si>
  <si>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</si>
  <si>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</si>
  <si>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</si>
  <si>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</si>
  <si>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</si>
  <si>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</si>
  <si>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</si>
  <si>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</si>
  <si>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</si>
  <si>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</si>
  <si>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</si>
  <si>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</si>
  <si>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</si>
  <si>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</si>
  <si>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</si>
  <si>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</si>
  <si>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</si>
  <si>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</si>
  <si>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</si>
  <si>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</si>
  <si>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</si>
  <si>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</si>
  <si>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</si>
  <si>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</si>
  <si>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</si>
  <si>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</si>
  <si>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</si>
  <si>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</si>
  <si>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</si>
  <si>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</si>
  <si>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</si>
  <si>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</si>
  <si>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</si>
  <si>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</si>
  <si>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</si>
  <si>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</si>
  <si>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</si>
  <si>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</si>
  <si>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</si>
  <si>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</si>
  <si>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</si>
  <si>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</si>
  <si>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</si>
  <si>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</si>
  <si>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</si>
  <si>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</si>
  <si>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</si>
  <si>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</si>
  <si>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</si>
  <si>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</si>
  <si>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</si>
  <si>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</si>
  <si>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</si>
  <si>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</si>
  <si>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</si>
  <si>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</si>
  <si>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</si>
  <si>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</si>
  <si>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</si>
  <si>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</si>
  <si>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</si>
  <si>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</si>
  <si>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</si>
  <si>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</si>
  <si>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</si>
  <si>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</si>
  <si>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</si>
  <si>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</si>
  <si>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</si>
  <si>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</si>
  <si>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</si>
  <si>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</si>
  <si>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</si>
  <si>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</si>
  <si>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</si>
  <si>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</si>
  <si>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</si>
  <si>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</si>
  <si>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</si>
  <si>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</si>
  <si>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</si>
  <si>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</si>
  <si>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</si>
  <si>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</si>
  <si>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</si>
  <si>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</si>
  <si>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</si>
  <si>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</si>
  <si>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</si>
  <si>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</si>
  <si>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</si>
  <si>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</si>
  <si>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</si>
  <si>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</si>
  <si>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</si>
  <si>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</si>
  <si>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</si>
  <si>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</si>
  <si>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</si>
  <si>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</si>
  <si>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</si>
  <si>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</si>
  <si>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</si>
  <si>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</si>
  <si>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</si>
  <si>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</si>
  <si>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</si>
  <si>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</si>
  <si>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</si>
  <si>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</si>
  <si>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</si>
  <si>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</si>
  <si>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</si>
  <si>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</si>
  <si>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</si>
  <si>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</si>
  <si>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</si>
  <si>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</si>
  <si>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</si>
  <si>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</si>
  <si>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</si>
  <si>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</si>
  <si>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</si>
  <si>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</si>
  <si>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</si>
  <si>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</si>
  <si>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</si>
  <si>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</si>
  <si>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</si>
  <si>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</si>
  <si>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</si>
  <si>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</si>
  <si>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</si>
  <si>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</si>
  <si>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</si>
  <si>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</si>
  <si>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</si>
  <si>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</si>
  <si>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</si>
  <si>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</si>
  <si>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</si>
  <si>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</si>
  <si>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</si>
  <si>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</si>
  <si>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</si>
  <si>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</si>
  <si>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</si>
  <si>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</si>
  <si>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</si>
  <si>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</si>
  <si>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</si>
  <si>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</si>
  <si>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</si>
  <si>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</si>
  <si>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</si>
  <si>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</si>
  <si>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</si>
  <si>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</si>
  <si>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</si>
  <si>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</si>
  <si>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</si>
  <si>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</si>
  <si>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</si>
  <si>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</si>
  <si>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</si>
  <si>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</si>
  <si>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</si>
  <si>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</si>
  <si>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</si>
  <si>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</si>
  <si>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</si>
  <si>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</si>
  <si>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</si>
  <si>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</si>
  <si>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</si>
  <si>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</si>
  <si>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</si>
  <si>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</si>
  <si>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</si>
  <si>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</si>
  <si>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</si>
  <si>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</si>
  <si>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</si>
  <si>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</si>
  <si>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</si>
  <si>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</si>
  <si>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</si>
  <si>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</si>
  <si>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</si>
  <si>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</si>
  <si>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</si>
  <si>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</si>
  <si>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</si>
  <si>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</si>
  <si>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</si>
  <si>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</si>
  <si>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</si>
  <si>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</si>
  <si>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</si>
  <si>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</si>
  <si>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</si>
  <si>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</si>
  <si>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</si>
  <si>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</si>
  <si>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</si>
  <si>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</si>
  <si>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</si>
  <si>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</si>
  <si>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</si>
  <si>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</si>
  <si>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</si>
  <si>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</si>
  <si>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</si>
  <si>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</si>
  <si>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</si>
  <si>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</si>
  <si>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</si>
  <si>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</si>
  <si>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</si>
  <si>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</si>
  <si>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</si>
  <si>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</si>
  <si>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</si>
  <si>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</si>
  <si>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</si>
  <si>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</si>
  <si>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</si>
  <si>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</si>
  <si>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</si>
  <si>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</si>
  <si>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</si>
  <si>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</si>
  <si>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</si>
  <si>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</si>
  <si>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</si>
  <si>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</si>
  <si>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</si>
  <si>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</si>
  <si>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</si>
  <si>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</si>
  <si>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</si>
  <si>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</si>
  <si>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</si>
  <si>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</si>
  <si>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</si>
  <si>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</si>
  <si>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</si>
  <si>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</si>
  <si>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</si>
  <si>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</si>
  <si>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</si>
  <si>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</si>
  <si>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</si>
  <si>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</si>
  <si>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</si>
  <si>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</si>
  <si>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</si>
  <si>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</si>
  <si>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</si>
  <si>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</si>
  <si>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</si>
  <si>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</si>
  <si>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</si>
  <si>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</si>
  <si>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</si>
  <si>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</si>
  <si>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</si>
  <si>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</si>
  <si>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</si>
  <si>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</si>
  <si>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</si>
  <si>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</si>
  <si>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</si>
  <si>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</si>
  <si>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</si>
  <si>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</si>
  <si>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</si>
  <si>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</si>
  <si>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</si>
  <si>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</si>
  <si>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</si>
  <si>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</si>
  <si>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</si>
  <si>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</si>
  <si>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</si>
  <si>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</si>
  <si>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</si>
  <si>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</si>
  <si>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</si>
  <si>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</si>
  <si>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</si>
  <si>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</si>
  <si>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</si>
  <si>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</si>
  <si>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</si>
  <si>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</si>
  <si>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</si>
  <si>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</si>
  <si>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</si>
  <si>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</si>
  <si>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</si>
  <si>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</si>
  <si>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</si>
  <si>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</si>
  <si>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</si>
  <si>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</si>
  <si>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</si>
  <si>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</si>
  <si>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</si>
  <si>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</si>
  <si>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</si>
  <si>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</si>
  <si>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</si>
  <si>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</si>
  <si>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</si>
  <si>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</si>
  <si>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</si>
  <si>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</si>
  <si>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</si>
  <si>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</si>
  <si>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</si>
  <si>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</si>
  <si>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</si>
  <si>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</si>
  <si>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</si>
  <si>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</si>
  <si>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</si>
  <si>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</si>
  <si>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</si>
  <si>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</si>
  <si>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</si>
  <si>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</si>
  <si>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</si>
  <si>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</si>
  <si>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</si>
  <si>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</si>
  <si>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</si>
  <si>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</si>
  <si>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</si>
  <si>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</si>
  <si>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</si>
  <si>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</si>
  <si>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</si>
  <si>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</si>
  <si>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</si>
  <si>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</si>
  <si>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</si>
  <si>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</si>
  <si>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</si>
  <si>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</si>
  <si>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</si>
  <si>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</si>
  <si>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</si>
  <si>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</si>
  <si>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</si>
  <si>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</si>
  <si>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</si>
  <si>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</si>
  <si>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</si>
  <si>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</si>
  <si>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</si>
  <si>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</si>
  <si>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</si>
  <si>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</si>
  <si>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</si>
  <si>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</si>
  <si>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</si>
  <si>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</si>
  <si>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</si>
  <si>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</si>
  <si>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</si>
  <si>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</si>
  <si>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</si>
  <si>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</si>
  <si>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</si>
  <si>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</si>
  <si>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</si>
  <si>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</si>
  <si>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</si>
  <si>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</si>
  <si>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</si>
  <si>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</si>
  <si>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</si>
  <si>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</si>
  <si>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</si>
  <si>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</si>
  <si>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</si>
  <si>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</si>
  <si>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</si>
  <si>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</si>
  <si>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</si>
  <si>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</si>
  <si>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</si>
  <si>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</si>
  <si>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</si>
  <si>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</si>
  <si>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</si>
  <si>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</si>
  <si>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</si>
  <si>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</si>
  <si>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</si>
  <si>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</si>
  <si>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</si>
  <si>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</si>
  <si>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</si>
  <si>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</si>
  <si>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</si>
  <si>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</si>
  <si>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</si>
  <si>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</si>
  <si>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</si>
  <si>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</si>
  <si>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</si>
  <si>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</si>
  <si>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</si>
  <si>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</si>
  <si>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</si>
  <si>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</si>
  <si>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</si>
  <si>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</si>
  <si>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</si>
  <si>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</si>
  <si>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</si>
  <si>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</si>
  <si>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</si>
  <si>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</si>
  <si>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</si>
  <si>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</si>
  <si>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</si>
  <si>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</si>
  <si>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</si>
  <si>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</si>
  <si>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</si>
  <si>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</si>
  <si>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</si>
  <si>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</si>
  <si>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</si>
  <si>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</si>
  <si>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</si>
  <si>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</si>
  <si>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</si>
  <si>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</si>
  <si>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</si>
  <si>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</si>
  <si>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</si>
  <si>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</si>
  <si>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</si>
  <si>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</si>
  <si>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</si>
  <si>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</si>
  <si>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</si>
  <si>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</si>
  <si>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</si>
  <si>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</si>
  <si>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</si>
  <si>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</si>
  <si>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</si>
  <si>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</si>
  <si>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</si>
  <si>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</si>
  <si>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</si>
  <si>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</si>
  <si>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</si>
  <si>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</si>
  <si>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</si>
  <si>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</si>
  <si>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</si>
  <si>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</si>
  <si>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</si>
  <si>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</si>
  <si>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</si>
  <si>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</si>
  <si>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</si>
  <si>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</si>
  <si>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</si>
  <si>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</si>
  <si>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</si>
  <si>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</si>
  <si>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</si>
  <si>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</si>
  <si>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</si>
  <si>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</si>
  <si>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</si>
  <si>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</si>
  <si>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</si>
  <si>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</si>
  <si>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</si>
  <si>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</si>
  <si>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</si>
  <si>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</si>
  <si>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</si>
  <si>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</si>
  <si>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</si>
  <si>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</si>
  <si>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</si>
  <si>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</si>
  <si>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</si>
  <si>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</si>
  <si>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</si>
  <si>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</si>
  <si>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</si>
  <si>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</si>
  <si>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</si>
  <si>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</si>
  <si>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</si>
  <si>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</si>
  <si>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</si>
  <si>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</si>
  <si>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</si>
  <si>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</si>
  <si>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</si>
  <si>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</si>
  <si>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</si>
  <si>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</si>
  <si>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</si>
  <si>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</si>
  <si>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</si>
  <si>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</si>
  <si>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</si>
  <si>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</si>
  <si>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</si>
  <si>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</si>
  <si>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</si>
  <si>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</si>
  <si>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</si>
  <si>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</si>
  <si>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</si>
  <si>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</si>
  <si>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</si>
  <si>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</si>
  <si>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</si>
  <si>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</si>
  <si>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</si>
  <si>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</si>
  <si>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</si>
  <si>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</si>
  <si>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</si>
  <si>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</si>
  <si>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</si>
  <si>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</si>
  <si>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</si>
  <si>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</si>
  <si>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</si>
  <si>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</si>
  <si>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</si>
  <si>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</si>
  <si>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</si>
  <si>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</si>
  <si>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</si>
  <si>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</si>
  <si>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</si>
  <si>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</si>
  <si>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</si>
  <si>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</si>
  <si>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</si>
  <si>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</si>
  <si>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</si>
  <si>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</si>
  <si>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</si>
  <si>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</si>
  <si>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</si>
  <si>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</si>
  <si>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</si>
  <si>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</si>
  <si>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</si>
  <si>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</si>
  <si>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</si>
  <si>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</si>
  <si>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</si>
  <si>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</si>
  <si>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</si>
  <si>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</si>
  <si>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</si>
  <si>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</si>
  <si>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</si>
  <si>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</si>
  <si>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</si>
  <si>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</si>
  <si>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</si>
  <si>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</si>
  <si>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</si>
  <si>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</si>
  <si>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</si>
  <si>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</si>
  <si>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</si>
  <si>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</si>
  <si>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</si>
  <si>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</si>
  <si>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</si>
  <si>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</si>
  <si>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</si>
  <si>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</si>
  <si>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</si>
  <si>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</si>
  <si>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</si>
  <si>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</si>
  <si>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</si>
  <si>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</si>
  <si>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</si>
  <si>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</si>
  <si>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</si>
  <si>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</si>
  <si>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</si>
  <si>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</si>
  <si>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</si>
  <si>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</si>
  <si>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</si>
  <si>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</si>
  <si>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</si>
  <si>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</si>
  <si>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</si>
  <si>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</si>
  <si>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</si>
  <si>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</si>
  <si>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</si>
  <si>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</si>
  <si>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</si>
  <si>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</si>
  <si>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</si>
  <si>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</si>
  <si>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</si>
  <si>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</si>
  <si>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</si>
  <si>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</si>
  <si>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</si>
  <si>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</si>
  <si>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</si>
  <si>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</si>
  <si>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</si>
  <si>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</si>
  <si>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</si>
  <si>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</si>
  <si>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</si>
  <si>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</si>
  <si>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</si>
  <si>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</si>
  <si>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</si>
  <si>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</si>
  <si>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</si>
  <si>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</si>
  <si>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</si>
  <si>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</si>
  <si>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</si>
  <si>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</si>
  <si>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</si>
  <si>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</si>
  <si>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</si>
  <si>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</si>
  <si>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</si>
  <si>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</si>
  <si>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</si>
  <si>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</si>
  <si>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</si>
  <si>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</si>
  <si>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</si>
  <si>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</si>
  <si>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</si>
  <si>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</si>
  <si>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</si>
  <si>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</si>
  <si>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</si>
  <si>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</si>
  <si>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</si>
  <si>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</si>
  <si>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</si>
  <si>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</si>
  <si>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</si>
  <si>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</si>
  <si>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</si>
  <si>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</si>
  <si>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</si>
  <si>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</si>
  <si>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</si>
  <si>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</si>
  <si>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</si>
  <si>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</si>
  <si>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</si>
  <si>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</si>
  <si>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</si>
  <si>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</si>
  <si>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</si>
  <si>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</si>
  <si>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</si>
  <si>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</si>
  <si>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</si>
  <si>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</si>
  <si>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</si>
  <si>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</si>
  <si>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</si>
  <si>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</si>
  <si>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</si>
  <si>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</si>
  <si>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</si>
  <si>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</si>
  <si>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</si>
  <si>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</si>
  <si>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</si>
  <si>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</si>
  <si>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</si>
  <si>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</si>
  <si>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</si>
  <si>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</si>
  <si>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</si>
  <si>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</si>
  <si>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</si>
  <si>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</si>
  <si>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</si>
  <si>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</si>
  <si>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</si>
  <si>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</si>
  <si>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</si>
  <si>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</si>
  <si>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</si>
  <si>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</si>
  <si>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</si>
  <si>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</si>
  <si>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</si>
  <si>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</si>
  <si>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</si>
  <si>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</si>
  <si>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</si>
  <si>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</si>
  <si>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</si>
  <si>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</si>
  <si>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</si>
  <si>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</si>
  <si>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</si>
  <si>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</si>
  <si>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</si>
  <si>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</si>
  <si>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</si>
  <si>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</si>
  <si>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</si>
  <si>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</si>
  <si>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</si>
  <si>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</si>
  <si>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</si>
  <si>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</si>
  <si>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</si>
  <si>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</si>
  <si>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</si>
  <si>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</si>
  <si>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</si>
  <si>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</si>
  <si>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</si>
  <si>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</si>
  <si>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</si>
  <si>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</si>
  <si>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</si>
  <si>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</si>
  <si>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</si>
  <si>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</si>
  <si>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</si>
  <si>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</si>
  <si>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</si>
  <si>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</si>
  <si>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</si>
  <si>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</si>
  <si>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</si>
  <si>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</si>
  <si>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</si>
  <si>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</si>
  <si>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</si>
  <si>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</si>
  <si>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</si>
  <si>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</si>
  <si>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</si>
  <si>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</si>
  <si>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</si>
  <si>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</si>
  <si>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</si>
  <si>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</si>
  <si>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</si>
  <si>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</si>
  <si>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</si>
  <si>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</si>
  <si>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</si>
  <si>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</si>
  <si>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</si>
  <si>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</si>
  <si>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</si>
  <si>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</si>
  <si>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</si>
  <si>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</si>
  <si>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</si>
  <si>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</si>
  <si>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</si>
  <si>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</si>
  <si>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</si>
  <si>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</si>
  <si>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</si>
  <si>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</si>
  <si>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</si>
  <si>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</si>
  <si>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</si>
  <si>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</si>
  <si>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</si>
  <si>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</si>
  <si>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</si>
  <si>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</si>
  <si>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</si>
  <si>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</si>
  <si>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</si>
  <si>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</si>
  <si>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</si>
  <si>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</si>
  <si>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</si>
  <si>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</si>
  <si>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</si>
  <si>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</si>
  <si>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</si>
  <si>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</si>
  <si>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</si>
  <si>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</si>
  <si>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</si>
  <si>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</si>
  <si>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</si>
  <si>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</si>
  <si>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</si>
  <si>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</si>
  <si>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</si>
  <si>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</si>
  <si>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</si>
  <si>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</si>
  <si>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</si>
  <si>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</si>
  <si>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</si>
  <si>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</si>
  <si>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</si>
  <si>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</si>
  <si>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</si>
  <si>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</si>
  <si>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</si>
  <si>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</si>
  <si>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</si>
  <si>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</si>
  <si>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</si>
  <si>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</si>
  <si>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</si>
  <si>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</si>
  <si>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</si>
  <si>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</si>
  <si>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</si>
  <si>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</si>
  <si>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</si>
  <si>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</si>
  <si>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</si>
  <si>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</si>
  <si>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</si>
  <si>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</si>
  <si>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</si>
  <si>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</si>
  <si>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</si>
  <si>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</si>
  <si>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</si>
  <si>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</si>
  <si>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</si>
  <si>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</si>
  <si>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</si>
  <si>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</si>
  <si>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</si>
  <si>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</si>
  <si>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</si>
  <si>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</si>
  <si>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</si>
  <si>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</si>
  <si>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</si>
  <si>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</si>
  <si>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</si>
  <si>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</si>
  <si>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</si>
  <si>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</si>
  <si>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</si>
  <si>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</si>
  <si>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</si>
  <si>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</si>
  <si>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</si>
  <si>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</si>
  <si>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</si>
  <si>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</si>
  <si>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</si>
  <si>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</si>
  <si>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</si>
  <si>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</si>
  <si>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</si>
  <si>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</si>
  <si>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</si>
  <si>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</si>
  <si>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</si>
  <si>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</si>
  <si>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</si>
  <si>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</si>
  <si>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</si>
  <si>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</si>
  <si>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</si>
  <si>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</si>
  <si>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</si>
  <si>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</si>
  <si>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</si>
  <si>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</si>
  <si>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</si>
  <si>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</si>
  <si>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</si>
  <si>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</si>
  <si>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</si>
  <si>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</si>
  <si>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</si>
  <si>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</si>
  <si>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</si>
  <si>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</si>
  <si>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</si>
  <si>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</si>
  <si>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</si>
  <si>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</si>
  <si>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</si>
  <si>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</si>
  <si>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</si>
  <si>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</si>
  <si>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</si>
  <si>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</si>
  <si>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</si>
  <si>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</si>
  <si>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</si>
  <si>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</si>
  <si>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</si>
  <si>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</si>
  <si>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</si>
  <si>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</si>
  <si>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</si>
  <si>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</si>
  <si>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</si>
  <si>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</si>
  <si>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</si>
  <si>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</si>
  <si>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</si>
  <si>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</si>
  <si>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</si>
  <si>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</si>
  <si>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</si>
  <si>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</si>
  <si>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</si>
  <si>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</si>
  <si>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</si>
  <si>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</si>
  <si>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</si>
  <si>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</si>
  <si>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</si>
  <si>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</si>
  <si>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</si>
  <si>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</si>
  <si>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</si>
  <si>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</si>
  <si>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</si>
  <si>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</si>
  <si>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</si>
  <si>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</si>
  <si>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</si>
  <si>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</si>
  <si>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</si>
  <si>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</si>
  <si>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</si>
  <si>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</si>
  <si>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</si>
  <si>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</si>
  <si>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</si>
  <si>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</si>
  <si>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</si>
  <si>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</si>
  <si>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</si>
  <si>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</si>
  <si>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</si>
  <si>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</si>
  <si>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</si>
  <si>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</si>
  <si>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</si>
  <si>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</si>
  <si>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</si>
  <si>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</si>
  <si>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</si>
  <si>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</si>
  <si>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</si>
  <si>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</si>
  <si>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</si>
  <si>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</si>
  <si>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</si>
  <si>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</si>
  <si>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</si>
  <si>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</si>
  <si>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</si>
  <si>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</si>
  <si>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</si>
  <si>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</si>
  <si>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</si>
  <si>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</si>
  <si>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</si>
  <si>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</si>
  <si>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</si>
  <si>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</si>
  <si>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</si>
  <si>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</si>
  <si>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</si>
  <si>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</si>
  <si>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</si>
  <si>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</si>
  <si>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</si>
  <si>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</si>
  <si>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</si>
  <si>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</si>
  <si>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</si>
  <si>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</si>
  <si>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</si>
  <si>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</si>
  <si>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</si>
  <si>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</si>
  <si>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</si>
  <si>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</si>
  <si>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</si>
  <si>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</si>
  <si>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</si>
  <si>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</si>
  <si>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</si>
  <si>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</si>
  <si>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</si>
  <si>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</si>
  <si>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</si>
  <si>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</si>
  <si>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</si>
  <si>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</si>
  <si>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</si>
  <si>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</si>
  <si>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</si>
  <si>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</si>
  <si>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</si>
  <si>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</si>
  <si>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</si>
  <si>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</si>
  <si>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</si>
  <si>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</si>
  <si>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</si>
  <si>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</si>
  <si>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</si>
  <si>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</si>
  <si>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</si>
  <si>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</si>
  <si>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</si>
  <si>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</si>
  <si>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</si>
  <si>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</si>
  <si>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</si>
  <si>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</si>
  <si>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</si>
  <si>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</si>
  <si>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</si>
  <si>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</si>
  <si>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</si>
  <si>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</si>
  <si>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</si>
  <si>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</si>
  <si>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</si>
  <si>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</si>
  <si>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</si>
  <si>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</si>
  <si>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</si>
  <si>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</si>
  <si>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</si>
  <si>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</si>
  <si>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</si>
  <si>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</si>
  <si>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</si>
  <si>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</si>
  <si>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</si>
  <si>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</si>
  <si>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</si>
  <si>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</si>
  <si>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</si>
  <si>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</si>
  <si>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</si>
  <si>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</si>
  <si>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</si>
  <si>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</si>
  <si>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</si>
  <si>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</si>
  <si>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</si>
  <si>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</si>
  <si>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</si>
  <si>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</si>
  <si>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</si>
  <si>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</si>
  <si>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</si>
  <si>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</si>
  <si>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</si>
  <si>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</si>
  <si>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</si>
  <si>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</si>
  <si>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</si>
  <si>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</si>
  <si>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</si>
  <si>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</si>
  <si>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</si>
  <si>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</si>
  <si>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</si>
  <si>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</si>
  <si>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</si>
  <si>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</si>
  <si>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</si>
  <si>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</si>
  <si>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</si>
  <si>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</si>
  <si>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</si>
  <si>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</si>
  <si>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</si>
  <si>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</si>
  <si>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</si>
  <si>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</si>
  <si>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</si>
  <si>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</si>
  <si>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</si>
  <si>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</si>
  <si>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</si>
  <si>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</si>
  <si>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</si>
  <si>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</si>
  <si>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</si>
  <si>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</si>
  <si>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</si>
  <si>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</si>
  <si>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</si>
  <si>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</si>
  <si>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</si>
  <si>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</si>
  <si>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</si>
  <si>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</si>
  <si>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</si>
  <si>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</si>
  <si>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</si>
  <si>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</si>
  <si>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</si>
  <si>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</si>
  <si>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</si>
  <si>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</si>
  <si>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</si>
  <si>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</si>
  <si>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</si>
  <si>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</si>
  <si>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</si>
  <si>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</si>
  <si>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</si>
  <si>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</si>
  <si>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</si>
  <si>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</si>
  <si>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</si>
  <si>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</si>
  <si>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</si>
  <si>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</si>
  <si>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</si>
  <si>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</si>
  <si>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</si>
  <si>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</si>
  <si>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</si>
  <si>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</si>
  <si>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</si>
  <si>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</si>
  <si>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</si>
  <si>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</si>
  <si>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</si>
  <si>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</si>
  <si>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</si>
  <si>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</si>
  <si>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</si>
  <si>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</si>
  <si>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</si>
  <si>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</si>
  <si>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</si>
  <si>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</si>
  <si>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</si>
  <si>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</si>
  <si>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</si>
  <si>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</si>
  <si>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</si>
  <si>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</si>
  <si>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</si>
  <si>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</si>
  <si>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</si>
  <si>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</si>
  <si>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</si>
  <si>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</si>
  <si>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</si>
  <si>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</si>
  <si>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</si>
  <si>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</si>
  <si>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</si>
  <si>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</si>
  <si>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</si>
  <si>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</si>
  <si>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</si>
  <si>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</si>
  <si>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</si>
  <si>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</si>
  <si>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</si>
  <si>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</si>
  <si>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</si>
  <si>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</si>
  <si>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</si>
  <si>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</si>
  <si>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</si>
  <si>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</si>
  <si>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</si>
  <si>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</si>
  <si>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</si>
  <si>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</si>
  <si>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</si>
  <si>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</si>
  <si>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</si>
  <si>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</si>
  <si>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</si>
  <si>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</si>
  <si>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</si>
  <si>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</si>
  <si>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</si>
  <si>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</si>
  <si>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</si>
  <si>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</si>
  <si>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</si>
  <si>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</si>
  <si>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</si>
  <si>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</si>
  <si>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</si>
  <si>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</si>
  <si>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</si>
  <si>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</si>
  <si>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</si>
  <si>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</si>
  <si>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</si>
  <si>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</si>
  <si>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</si>
  <si>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</si>
  <si>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</si>
  <si>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</si>
  <si>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</si>
  <si>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</si>
  <si>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</si>
  <si>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</si>
  <si>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</si>
  <si>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</si>
  <si>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</si>
  <si>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</si>
  <si>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</si>
  <si>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</si>
  <si>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</si>
  <si>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</si>
  <si>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</si>
  <si>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</si>
  <si>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</si>
  <si>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</si>
  <si>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</si>
  <si>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</si>
  <si>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</si>
  <si>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</si>
  <si>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</si>
  <si>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</si>
  <si>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</si>
  <si>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</si>
  <si>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</si>
  <si>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</si>
  <si>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</si>
  <si>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</si>
  <si>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</si>
  <si>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</si>
  <si>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</si>
  <si>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</si>
  <si>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</si>
  <si>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</si>
  <si>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</si>
  <si>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</si>
  <si>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</si>
  <si>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</si>
  <si>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</si>
  <si>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</si>
  <si>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</si>
  <si>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</si>
  <si>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</si>
  <si>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</si>
  <si>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</si>
  <si>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</si>
  <si>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</si>
  <si>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</si>
  <si>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</si>
  <si>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</si>
  <si>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</si>
  <si>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</si>
  <si>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</si>
  <si>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</si>
  <si>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</si>
  <si>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</si>
  <si>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</si>
  <si>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</si>
  <si>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</si>
  <si>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</si>
  <si>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</si>
  <si>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</si>
  <si>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</si>
  <si>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</si>
  <si>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</si>
  <si>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</si>
  <si>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</si>
  <si>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</si>
  <si>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</si>
  <si>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</si>
  <si>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</si>
  <si>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</si>
  <si>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</si>
  <si>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</si>
  <si>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</si>
  <si>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</si>
  <si>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</si>
  <si>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</si>
  <si>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</si>
  <si>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</si>
  <si>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</si>
  <si>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</si>
  <si>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</si>
  <si>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</si>
  <si>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</si>
  <si>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</si>
  <si>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</si>
  <si>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</si>
  <si>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</si>
  <si>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</si>
  <si>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</si>
  <si>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</si>
  <si>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</si>
  <si>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</si>
  <si>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</si>
  <si>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</si>
  <si>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</si>
  <si>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</si>
  <si>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</si>
  <si>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</si>
  <si>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</si>
  <si>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</si>
  <si>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</si>
  <si>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</si>
  <si>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</si>
  <si>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</si>
  <si>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</si>
  <si>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</si>
  <si>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</si>
  <si>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</si>
  <si>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</si>
  <si>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</si>
  <si>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</si>
  <si>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</si>
  <si>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</si>
  <si>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</si>
  <si>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</si>
  <si>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</si>
  <si>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</si>
  <si>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</si>
  <si>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</si>
  <si>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</si>
  <si>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</si>
  <si>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</si>
  <si>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</si>
  <si>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</si>
  <si>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</si>
  <si>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</si>
  <si>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</si>
  <si>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</si>
  <si>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</si>
  <si>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</si>
  <si>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</si>
  <si>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</si>
  <si>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</si>
  <si>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</si>
  <si>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</si>
  <si>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</si>
  <si>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</si>
  <si>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</si>
  <si>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</si>
  <si>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</si>
  <si>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</si>
  <si>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</si>
  <si>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</si>
  <si>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</si>
  <si>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</si>
  <si>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</si>
  <si>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</si>
  <si>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</si>
  <si>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</si>
  <si>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</si>
  <si>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</si>
  <si>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</si>
  <si>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</si>
  <si>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</si>
  <si>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</si>
  <si>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</si>
  <si>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</si>
  <si>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</si>
  <si>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</si>
  <si>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</si>
  <si>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</si>
  <si>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</si>
  <si>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</si>
  <si>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</si>
  <si>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</si>
  <si>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</si>
  <si>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</si>
  <si>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</si>
  <si>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</si>
  <si>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</si>
  <si>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</si>
  <si>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</si>
  <si>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</si>
  <si>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</si>
  <si>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</si>
  <si>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</si>
  <si>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</si>
  <si>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</si>
  <si>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</si>
  <si>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</si>
  <si>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</si>
  <si>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</si>
  <si>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</si>
  <si>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</si>
  <si>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</si>
  <si>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</si>
  <si>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</si>
  <si>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</si>
  <si>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</si>
  <si>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</si>
  <si>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</si>
  <si>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</si>
  <si>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</si>
  <si>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</si>
  <si>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</si>
  <si>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</si>
  <si>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</si>
  <si>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</si>
  <si>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</si>
  <si>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</si>
  <si>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</si>
  <si>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</si>
  <si>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</si>
  <si>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</si>
  <si>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</si>
  <si>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</si>
  <si>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</si>
  <si>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</si>
  <si>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</si>
  <si>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</si>
  <si>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</si>
  <si>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</si>
  <si>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</si>
  <si>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</si>
  <si>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</si>
  <si>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</si>
  <si>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</si>
  <si>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</si>
  <si>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</si>
  <si>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</si>
  <si>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</si>
  <si>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</si>
  <si>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</si>
  <si>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</si>
  <si>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</si>
  <si>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</si>
  <si>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</si>
  <si>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</si>
  <si>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</si>
  <si>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</si>
  <si>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</si>
  <si>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</si>
  <si>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</si>
  <si>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</si>
  <si>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</si>
  <si>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</si>
  <si>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</si>
  <si>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</si>
  <si>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</si>
  <si>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</si>
  <si>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</si>
  <si>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</si>
  <si>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</si>
  <si>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</si>
  <si>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</si>
  <si>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</si>
  <si>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</si>
  <si>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</si>
  <si>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</si>
  <si>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</si>
  <si>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</si>
  <si>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</si>
  <si>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</si>
  <si>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</si>
  <si>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</si>
  <si>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</si>
  <si>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</si>
  <si>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</si>
  <si>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</si>
  <si>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</si>
  <si>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</si>
  <si>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</si>
  <si>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</si>
  <si>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</si>
  <si>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</si>
  <si>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</si>
  <si>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</si>
  <si>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</si>
  <si>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</si>
  <si>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</si>
  <si>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</si>
  <si>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</si>
  <si>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</si>
  <si>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</si>
  <si>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</si>
  <si>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</si>
  <si>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</si>
  <si>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</si>
  <si>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</si>
  <si>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</si>
  <si>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</si>
  <si>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</si>
  <si>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</si>
  <si>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</si>
  <si>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</si>
  <si>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</si>
  <si>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</si>
  <si>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</si>
  <si>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</si>
  <si>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</si>
  <si>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</si>
  <si>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</si>
  <si>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</si>
  <si>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</si>
  <si>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</si>
  <si>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</si>
  <si>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</si>
  <si>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</si>
  <si>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</si>
  <si>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</si>
  <si>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</si>
  <si>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</si>
  <si>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</si>
  <si>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</si>
  <si>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</si>
  <si>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</si>
  <si>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</si>
  <si>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</si>
  <si>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</si>
  <si>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</si>
  <si>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</si>
  <si>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</si>
  <si>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</si>
  <si>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</si>
  <si>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</si>
  <si>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</si>
  <si>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</si>
  <si>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</si>
  <si>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</si>
  <si>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</si>
  <si>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</si>
  <si>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</si>
  <si>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</si>
  <si>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</si>
  <si>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</si>
  <si>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</si>
  <si>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</si>
  <si>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</si>
  <si>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</si>
  <si>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</si>
  <si>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</si>
  <si>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</si>
  <si>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</si>
  <si>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</si>
  <si>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</si>
  <si>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</si>
  <si>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</si>
  <si>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</si>
  <si>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</si>
  <si>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</si>
  <si>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</si>
  <si>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</si>
  <si>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</si>
  <si>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</si>
  <si>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</si>
  <si>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</si>
  <si>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</si>
  <si>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</si>
  <si>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</si>
  <si>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</si>
  <si>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</si>
  <si>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</si>
  <si>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</si>
  <si>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</si>
  <si>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</si>
  <si>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</si>
  <si>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</si>
  <si>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</si>
  <si>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</si>
  <si>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</si>
  <si>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</si>
  <si>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</si>
  <si>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</si>
  <si>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</si>
  <si>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</si>
  <si>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</si>
  <si>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</si>
  <si>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</si>
  <si>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</si>
  <si>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</si>
  <si>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</si>
  <si>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</si>
  <si>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</si>
  <si>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</si>
  <si>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</si>
  <si>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</si>
  <si>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</si>
  <si>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</si>
  <si>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</si>
  <si>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</si>
  <si>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</si>
  <si>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</si>
  <si>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</si>
  <si>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</si>
  <si>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</si>
  <si>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</si>
  <si>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</si>
  <si>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</si>
  <si>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</si>
  <si>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</si>
  <si>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</si>
  <si>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</si>
  <si>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</si>
  <si>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</si>
  <si>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</si>
  <si>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</si>
  <si>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</si>
  <si>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</si>
  <si>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</si>
  <si>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</si>
  <si>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</si>
  <si>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</si>
  <si>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</si>
  <si>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</si>
  <si>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</si>
  <si>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</si>
  <si>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</si>
  <si>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</si>
  <si>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</si>
  <si>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</si>
  <si>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</si>
  <si>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</si>
  <si>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</si>
  <si>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</si>
  <si>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</si>
  <si>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</si>
  <si>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</si>
  <si>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</si>
  <si>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</si>
  <si>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</si>
  <si>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</si>
  <si>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</si>
  <si>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</si>
  <si>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</si>
  <si>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</si>
  <si>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</si>
  <si>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</si>
  <si>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</si>
  <si>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</si>
  <si>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</si>
  <si>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</si>
  <si>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</si>
  <si>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</si>
  <si>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</si>
  <si>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</si>
  <si>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</si>
  <si>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</si>
  <si>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</si>
  <si>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</si>
  <si>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</si>
  <si>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</si>
  <si>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</si>
  <si>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</si>
  <si>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</si>
  <si>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</si>
  <si>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</si>
  <si>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</si>
  <si>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</si>
  <si>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</si>
  <si>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</si>
  <si>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</si>
  <si>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</si>
  <si>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</si>
  <si>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</si>
  <si>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</si>
  <si>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</si>
  <si>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</si>
  <si>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</si>
  <si>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</si>
  <si>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</si>
  <si>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</si>
  <si>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</si>
  <si>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</si>
  <si>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</si>
  <si>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</si>
  <si>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</si>
  <si>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</si>
  <si>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</si>
  <si>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</si>
  <si>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</si>
  <si>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</si>
  <si>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</si>
  <si>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</si>
  <si>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</si>
  <si>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</si>
  <si>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</si>
  <si>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</si>
  <si>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</si>
  <si>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</si>
  <si>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</si>
  <si>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</si>
  <si>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</si>
  <si>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</si>
  <si>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</si>
  <si>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</si>
  <si>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</si>
  <si>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</si>
  <si>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</si>
  <si>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</si>
  <si>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</si>
  <si>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</si>
  <si>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</si>
  <si>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</si>
  <si>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</si>
  <si>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</si>
  <si>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</si>
  <si>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</si>
  <si>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</si>
  <si>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</si>
  <si>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</si>
  <si>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</si>
  <si>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</si>
  <si>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</si>
  <si>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</si>
  <si>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</si>
  <si>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</si>
  <si>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</si>
  <si>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</si>
  <si>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</si>
  <si>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</si>
  <si>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</si>
  <si>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</si>
  <si>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</si>
  <si>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</si>
  <si>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</si>
  <si>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</si>
  <si>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</si>
  <si>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</si>
  <si>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</si>
  <si>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</si>
  <si>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</si>
  <si>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</si>
  <si>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</si>
  <si>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</si>
  <si>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</si>
  <si>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</si>
  <si>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</si>
  <si>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</si>
  <si>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</si>
  <si>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</si>
  <si>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</si>
  <si>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</si>
  <si>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</si>
  <si>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</si>
  <si>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</si>
  <si>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</si>
  <si>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</si>
  <si>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</si>
  <si>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</si>
  <si>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</si>
  <si>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</si>
  <si>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</si>
  <si>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</si>
  <si>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</si>
  <si>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</si>
  <si>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</si>
  <si>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</si>
  <si>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</si>
  <si>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</si>
  <si>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</si>
  <si>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</si>
  <si>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</si>
  <si>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</si>
  <si>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</si>
  <si>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</si>
  <si>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</si>
  <si>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</si>
  <si>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</si>
  <si>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</si>
  <si>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</si>
  <si>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</si>
  <si>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</si>
  <si>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</si>
  <si>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</si>
  <si>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</si>
  <si>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</si>
  <si>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</si>
  <si>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</si>
  <si>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</si>
  <si>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</si>
  <si>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</si>
  <si>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</si>
  <si>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</si>
  <si>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</si>
  <si>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</si>
  <si>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</si>
  <si>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</si>
  <si>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</si>
  <si>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</si>
  <si>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</si>
  <si>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</si>
  <si>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</si>
  <si>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</si>
  <si>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</si>
  <si>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</si>
  <si>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</si>
  <si>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</si>
  <si>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</si>
  <si>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</si>
  <si>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</si>
  <si>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</si>
  <si>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</si>
  <si>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</si>
  <si>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</si>
  <si>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</si>
  <si>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</si>
  <si>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</si>
  <si>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</si>
  <si>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</si>
  <si>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</si>
  <si>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</si>
  <si>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</si>
  <si>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</si>
  <si>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</si>
  <si>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</si>
  <si>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</si>
  <si>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</si>
  <si>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</si>
  <si>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</si>
  <si>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</si>
  <si>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</si>
  <si>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</si>
  <si>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</si>
  <si>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</si>
  <si>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</si>
  <si>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</si>
  <si>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</si>
  <si>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</si>
  <si>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</si>
  <si>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</si>
  <si>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</si>
  <si>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</si>
  <si>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</si>
  <si>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</si>
  <si>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</si>
  <si>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</si>
  <si>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</si>
  <si>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</si>
  <si>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</si>
  <si>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</si>
  <si>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</si>
  <si>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</si>
  <si>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</si>
  <si>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</si>
  <si>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</si>
  <si>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</si>
  <si>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</si>
  <si>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</si>
  <si>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</si>
  <si>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</si>
  <si>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</si>
  <si>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</si>
  <si>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</si>
  <si>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</si>
  <si>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</si>
  <si>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</si>
  <si>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</si>
  <si>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</si>
  <si>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</si>
  <si>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</si>
  <si>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</si>
  <si>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</si>
  <si>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</si>
  <si>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</si>
  <si>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</si>
  <si>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</si>
  <si>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</si>
  <si>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</si>
  <si>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</si>
  <si>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</si>
  <si>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</si>
  <si>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</si>
  <si>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</si>
  <si>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</si>
  <si>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</si>
  <si>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</si>
  <si>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</si>
  <si>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</si>
  <si>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</si>
  <si>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</si>
  <si>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</si>
  <si>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</si>
  <si>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</si>
  <si>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</si>
  <si>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</si>
  <si>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</si>
  <si>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</si>
  <si>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</si>
  <si>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</si>
  <si>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</si>
  <si>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</si>
  <si>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</si>
  <si>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</si>
  <si>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</si>
  <si>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</si>
  <si>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</si>
  <si>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</si>
  <si>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</si>
  <si>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</si>
  <si>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</si>
  <si>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</si>
  <si>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</si>
  <si>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</si>
  <si>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</si>
  <si>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</si>
  <si>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</si>
  <si>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</si>
  <si>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</si>
  <si>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</si>
  <si>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</si>
  <si>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</si>
  <si>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</si>
  <si>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</si>
  <si>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</si>
  <si>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</si>
  <si>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</si>
  <si>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</si>
  <si>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</si>
  <si>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</si>
  <si>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</si>
  <si>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</si>
  <si>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</si>
  <si>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</si>
  <si>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</si>
  <si>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</si>
  <si>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</si>
  <si>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</si>
  <si>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</si>
  <si>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</si>
  <si>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</si>
  <si>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</si>
  <si>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</si>
  <si>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</si>
  <si>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</si>
  <si>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</si>
  <si>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</si>
  <si>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</si>
  <si>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</si>
  <si>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</si>
  <si>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</si>
  <si>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</si>
  <si>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</si>
  <si>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</si>
  <si>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</si>
  <si>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</si>
  <si>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</si>
  <si>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</si>
  <si>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</si>
  <si>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</si>
  <si>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</si>
  <si>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</si>
  <si>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</si>
  <si>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</si>
  <si>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</si>
  <si>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</si>
  <si>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</si>
  <si>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</si>
  <si>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</si>
  <si>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</si>
  <si>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</si>
  <si>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</si>
  <si>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</si>
  <si>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</si>
  <si>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</si>
  <si>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</si>
  <si>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</si>
  <si>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</si>
  <si>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</si>
  <si>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</si>
  <si>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</si>
  <si>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</si>
  <si>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</si>
  <si>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</si>
  <si>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</si>
  <si>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</si>
  <si>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</si>
  <si>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</si>
  <si>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</si>
  <si>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</si>
  <si>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</si>
  <si>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</si>
  <si>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</si>
  <si>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</si>
  <si>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</si>
  <si>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</si>
  <si>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</si>
  <si>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</si>
  <si>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</si>
  <si>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</si>
  <si>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</si>
  <si>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</si>
  <si>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</si>
  <si>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</si>
  <si>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</si>
  <si>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</si>
  <si>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</si>
  <si>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</si>
  <si>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</si>
  <si>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</si>
  <si>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</si>
  <si>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</si>
  <si>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</si>
  <si>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</si>
  <si>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</si>
  <si>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</si>
  <si>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</si>
  <si>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</si>
  <si>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</si>
  <si>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</si>
  <si>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</si>
  <si>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</si>
  <si>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</si>
  <si>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</si>
  <si>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</si>
  <si>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</si>
  <si>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</si>
  <si>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</si>
  <si>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</si>
  <si>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</si>
  <si>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</si>
  <si>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</si>
  <si>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</si>
  <si>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</si>
  <si>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</si>
  <si>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</si>
  <si>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</si>
  <si>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</si>
  <si>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</si>
  <si>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</si>
  <si>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</si>
  <si>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</si>
  <si>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</si>
  <si>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</si>
  <si>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</si>
  <si>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</si>
  <si>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</si>
  <si>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</si>
  <si>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</si>
  <si>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</si>
  <si>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</si>
  <si>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</si>
  <si>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</si>
  <si>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</si>
  <si>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</si>
  <si>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</si>
  <si>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</si>
  <si>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</si>
  <si>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</si>
  <si>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</si>
  <si>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</si>
  <si>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</si>
  <si>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</si>
  <si>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</si>
  <si>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</si>
  <si>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</si>
  <si>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</si>
  <si>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</si>
  <si>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</si>
  <si>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</si>
  <si>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</si>
  <si>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</si>
  <si>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</si>
  <si>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</si>
  <si>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</si>
  <si>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</si>
  <si>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</si>
  <si>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</si>
  <si>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</si>
  <si>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</si>
  <si>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</si>
  <si>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</si>
  <si>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</si>
  <si>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</si>
  <si>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</si>
  <si>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</si>
  <si>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</si>
  <si>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</si>
  <si>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</si>
  <si>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</si>
  <si>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</si>
  <si>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</si>
  <si>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</si>
  <si>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</si>
  <si>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</si>
  <si>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</si>
  <si>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</si>
  <si>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</si>
  <si>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</si>
  <si>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</si>
  <si>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</si>
  <si>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</si>
  <si>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</si>
  <si>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</si>
  <si>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</si>
  <si>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</si>
  <si>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</si>
  <si>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</si>
  <si>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</si>
  <si>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</si>
  <si>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</si>
  <si>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</si>
  <si>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</si>
  <si>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</si>
  <si>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</si>
  <si>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</si>
  <si>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</si>
  <si>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</si>
  <si>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</si>
  <si>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</si>
  <si>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</si>
  <si>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</si>
  <si>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</si>
  <si>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</si>
  <si>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</si>
  <si>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</si>
  <si>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</si>
  <si>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</si>
  <si>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</si>
  <si>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</si>
  <si>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</si>
  <si>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</si>
  <si>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</si>
  <si>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</si>
  <si>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</si>
  <si>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</si>
  <si>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</si>
  <si>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</si>
  <si>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</si>
  <si>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</si>
  <si>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</si>
  <si>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</si>
  <si>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</si>
  <si>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</si>
  <si>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</si>
  <si>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</si>
  <si>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</si>
  <si>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</si>
  <si>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</si>
  <si>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</si>
  <si>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</si>
  <si>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</si>
  <si>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</si>
  <si>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</si>
  <si>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</si>
  <si>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</si>
  <si>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</si>
  <si>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</si>
  <si>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</si>
  <si>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</si>
  <si>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</si>
  <si>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</si>
  <si>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</si>
  <si>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</si>
  <si>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</si>
  <si>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</si>
  <si>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</si>
  <si>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</si>
  <si>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</si>
  <si>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</si>
  <si>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</si>
  <si>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</si>
  <si>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</si>
  <si>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</si>
  <si>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</si>
  <si>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</si>
  <si>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</si>
  <si>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</si>
  <si>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</si>
  <si>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</si>
  <si>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</si>
  <si>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</si>
  <si>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</si>
  <si>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</si>
  <si>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</si>
  <si>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</si>
  <si>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</si>
  <si>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</si>
  <si>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</si>
  <si>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</si>
  <si>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</si>
  <si>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</si>
  <si>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</si>
  <si>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</si>
  <si>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</si>
  <si>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</si>
  <si>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</si>
  <si>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</si>
  <si>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</si>
  <si>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</si>
  <si>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</si>
  <si>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</si>
  <si>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</si>
  <si>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</si>
  <si>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</si>
  <si>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</si>
  <si>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</si>
  <si>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</si>
  <si>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</si>
  <si>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</si>
  <si>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</si>
  <si>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</si>
  <si>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</si>
  <si>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</si>
  <si>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</si>
  <si>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</si>
  <si>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</si>
  <si>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</si>
  <si>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</si>
  <si>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</si>
  <si>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</si>
  <si>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</si>
  <si>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</si>
  <si>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</si>
  <si>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</si>
  <si>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</si>
  <si>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</si>
  <si>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</si>
  <si>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</si>
  <si>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</si>
  <si>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</si>
  <si>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</si>
  <si>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</si>
  <si>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</si>
  <si>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</si>
  <si>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</si>
  <si>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</si>
  <si>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</si>
  <si>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</si>
  <si>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</si>
  <si>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</si>
  <si>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</si>
  <si>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</si>
  <si>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</si>
  <si>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</si>
  <si>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</si>
  <si>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</si>
  <si>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</si>
  <si>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</si>
  <si>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</si>
  <si>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</si>
  <si>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</si>
  <si>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</si>
  <si>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</si>
  <si>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</si>
  <si>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</si>
  <si>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</si>
  <si>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</si>
  <si>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</si>
  <si>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</si>
  <si>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</si>
  <si>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</si>
  <si>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</si>
  <si>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</si>
  <si>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</si>
  <si>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</si>
  <si>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</si>
  <si>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</si>
  <si>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</si>
  <si>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</si>
  <si>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</si>
  <si>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</si>
  <si>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</si>
  <si>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</si>
  <si>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</si>
  <si>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</si>
  <si>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</si>
  <si>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</si>
  <si>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</si>
  <si>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</si>
  <si>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</si>
  <si>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</si>
  <si>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</si>
  <si>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</si>
  <si>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</si>
  <si>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</si>
  <si>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</si>
  <si>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</si>
  <si>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</si>
  <si>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</si>
  <si>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</si>
  <si>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</si>
  <si>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</si>
  <si>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</si>
  <si>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</si>
  <si>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</si>
  <si>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</si>
  <si>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</si>
  <si>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</si>
  <si>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</si>
  <si>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</si>
  <si>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</si>
  <si>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</si>
  <si>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</si>
  <si>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</si>
  <si>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</si>
  <si>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</si>
  <si>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</si>
  <si>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</si>
  <si>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</si>
  <si>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</si>
  <si>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</si>
  <si>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</si>
  <si>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</si>
  <si>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</si>
  <si>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</si>
  <si>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</si>
  <si>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</si>
  <si>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</si>
  <si>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</si>
  <si>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</si>
  <si>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</si>
  <si>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</si>
  <si>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</si>
  <si>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</si>
  <si>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</si>
  <si>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</si>
  <si>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</si>
  <si>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</si>
  <si>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</si>
  <si>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</si>
  <si>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</si>
  <si>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</si>
  <si>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</si>
  <si>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</si>
  <si>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</si>
  <si>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</si>
  <si>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</si>
  <si>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</si>
  <si>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</si>
  <si>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</si>
  <si>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</si>
  <si>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</si>
  <si>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</si>
  <si>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</si>
  <si>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</si>
  <si>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</si>
  <si>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</si>
  <si>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</si>
  <si>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</si>
  <si>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</si>
  <si>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</si>
  <si>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</si>
  <si>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</si>
  <si>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</si>
  <si>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</si>
  <si>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</si>
  <si>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</si>
  <si>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</si>
  <si>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</si>
  <si>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</si>
  <si>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</si>
  <si>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</si>
  <si>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</si>
  <si>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</si>
  <si>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</si>
  <si>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</si>
  <si>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</si>
  <si>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</si>
  <si>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</si>
  <si>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</si>
  <si>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</si>
  <si>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</si>
  <si>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</si>
  <si>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</si>
  <si>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</si>
  <si>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</si>
  <si>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</si>
  <si>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</si>
  <si>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</si>
  <si>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</si>
  <si>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</si>
  <si>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</si>
  <si>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</si>
  <si>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</si>
  <si>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</si>
  <si>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</si>
  <si>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</si>
  <si>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</si>
  <si>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</si>
  <si>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</si>
  <si>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</si>
  <si>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</si>
  <si>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</si>
  <si>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</si>
  <si>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</si>
  <si>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</si>
  <si>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</si>
  <si>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</si>
  <si>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</si>
  <si>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</si>
  <si>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</si>
  <si>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</si>
  <si>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</si>
  <si>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</si>
  <si>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</si>
  <si>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</si>
  <si>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</si>
  <si>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</si>
  <si>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</si>
  <si>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</si>
  <si>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</si>
  <si>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</si>
  <si>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</si>
  <si>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</si>
  <si>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</si>
  <si>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</si>
  <si>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</si>
  <si>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</si>
  <si>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</si>
  <si>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</si>
  <si>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</si>
  <si>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</si>
  <si>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</si>
  <si>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</si>
  <si>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</si>
  <si>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</si>
  <si>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</si>
  <si>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</si>
  <si>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</si>
  <si>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</si>
  <si>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</si>
  <si>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</si>
  <si>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</si>
  <si>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</si>
  <si>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</si>
  <si>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</si>
  <si>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</si>
  <si>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</si>
  <si>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</si>
  <si>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</si>
  <si>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</si>
  <si>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</si>
  <si>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</si>
  <si>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</si>
  <si>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</si>
  <si>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</si>
  <si>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</si>
  <si>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</si>
  <si>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</si>
  <si>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</si>
  <si>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</si>
  <si>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</si>
  <si>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</si>
  <si>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</si>
  <si>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</si>
  <si>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</si>
  <si>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</si>
  <si>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</si>
  <si>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</si>
  <si>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</si>
  <si>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</si>
  <si>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</si>
  <si>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</si>
  <si>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</si>
  <si>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</si>
  <si>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</si>
  <si>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</si>
  <si>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</si>
  <si>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</si>
  <si>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</si>
  <si>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</si>
  <si>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</si>
  <si>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</si>
  <si>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</si>
  <si>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</si>
  <si>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</si>
  <si>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</si>
  <si>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</si>
  <si>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</si>
  <si>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</si>
  <si>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</si>
  <si>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</si>
  <si>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</si>
  <si>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</si>
  <si>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</si>
  <si>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</si>
  <si>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</si>
  <si>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</si>
  <si>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</si>
  <si>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</si>
  <si>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</si>
  <si>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</si>
  <si>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</si>
  <si>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</si>
  <si>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</si>
  <si>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</si>
  <si>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</si>
  <si>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</si>
  <si>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</si>
  <si>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</si>
  <si>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</si>
  <si>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</si>
  <si>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</si>
  <si>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</si>
  <si>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</si>
  <si>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</si>
  <si>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</si>
  <si>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</si>
  <si>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</si>
  <si>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</si>
  <si>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</si>
  <si>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</si>
  <si>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</si>
  <si>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</si>
  <si>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</si>
  <si>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</si>
  <si>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</si>
  <si>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</si>
  <si>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</si>
  <si>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</si>
  <si>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</si>
  <si>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</si>
  <si>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</si>
  <si>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</si>
  <si>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</si>
  <si>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</si>
  <si>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</si>
  <si>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</si>
  <si>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</si>
  <si>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</si>
  <si>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</si>
  <si>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</si>
  <si>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</si>
  <si>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</si>
  <si>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</si>
  <si>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</si>
  <si>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</si>
  <si>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</si>
  <si>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</si>
  <si>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</si>
  <si>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</si>
  <si>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</si>
  <si>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</si>
  <si>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</si>
  <si>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</si>
  <si>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</si>
  <si>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</si>
  <si>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</si>
  <si>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</si>
  <si>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</si>
  <si>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</si>
  <si>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</si>
  <si>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</si>
  <si>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</si>
  <si>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</si>
  <si>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</si>
  <si>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</si>
  <si>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</si>
  <si>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</si>
  <si>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</si>
  <si>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</si>
  <si>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</si>
  <si>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</si>
  <si>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</si>
  <si>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</si>
  <si>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</si>
  <si>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</si>
  <si>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</si>
  <si>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</si>
  <si>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</si>
  <si>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</si>
  <si>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</si>
  <si>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</si>
  <si>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</si>
  <si>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</si>
  <si>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</si>
  <si>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</si>
  <si>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</si>
  <si>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</si>
  <si>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</si>
  <si>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</si>
  <si>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</si>
  <si>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</si>
  <si>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</si>
  <si>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</si>
  <si>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</si>
  <si>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</si>
  <si>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</si>
  <si>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</si>
  <si>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</si>
  <si>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</si>
  <si>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</si>
  <si>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</si>
  <si>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</si>
  <si>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</si>
  <si>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</si>
  <si>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</si>
  <si>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</si>
  <si>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</si>
  <si>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</si>
  <si>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</si>
  <si>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</si>
  <si>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</si>
  <si>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</si>
  <si>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</si>
  <si>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</si>
  <si>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</si>
  <si>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</si>
  <si>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</si>
  <si>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</si>
  <si>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</si>
  <si>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</si>
  <si>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</si>
  <si>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</si>
  <si>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</si>
  <si>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</si>
  <si>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</si>
  <si>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</si>
  <si>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</si>
  <si>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</si>
  <si>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</si>
  <si>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</si>
  <si>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</si>
  <si>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</si>
  <si>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</si>
  <si>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</si>
  <si>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</si>
  <si>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</si>
  <si>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</si>
  <si>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</si>
  <si>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</si>
  <si>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</si>
  <si>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</si>
  <si>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</si>
  <si>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</si>
  <si>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</si>
  <si>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</si>
  <si>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</si>
  <si>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</si>
  <si>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</si>
  <si>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</si>
  <si>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</si>
  <si>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</si>
  <si>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</si>
  <si>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</si>
  <si>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</si>
  <si>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</si>
  <si>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</si>
  <si>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</si>
  <si>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</si>
  <si>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</si>
  <si>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</si>
  <si>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</si>
  <si>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</si>
  <si>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</si>
  <si>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</si>
  <si>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</si>
  <si>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</si>
  <si>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</si>
  <si>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</si>
  <si>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</si>
  <si>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</si>
  <si>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</si>
  <si>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</si>
  <si>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</si>
  <si>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</si>
  <si>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</si>
  <si>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</si>
  <si>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</si>
  <si>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</si>
  <si>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</si>
  <si>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</si>
  <si>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</si>
  <si>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</si>
  <si>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</si>
  <si>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</si>
  <si>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</si>
  <si>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</si>
  <si>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</si>
  <si>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</si>
  <si>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</si>
  <si>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</si>
  <si>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</si>
  <si>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</si>
  <si>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</si>
  <si>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</si>
  <si>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</si>
  <si>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</si>
  <si>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</si>
  <si>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</si>
  <si>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</si>
  <si>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</si>
  <si>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</si>
  <si>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</si>
  <si>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</si>
  <si>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</si>
  <si>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</si>
  <si>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</si>
  <si>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</si>
  <si>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</si>
  <si>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</si>
  <si>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</si>
  <si>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</si>
  <si>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</si>
  <si>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</si>
  <si>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</si>
  <si>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</si>
  <si>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</si>
  <si>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</si>
  <si>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</si>
  <si>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</si>
  <si>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</si>
  <si>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</si>
  <si>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</si>
  <si>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</si>
  <si>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</si>
  <si>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</si>
  <si>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</si>
  <si>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</si>
  <si>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</si>
  <si>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</si>
  <si>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</si>
  <si>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</si>
  <si>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</si>
  <si>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</si>
  <si>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</si>
  <si>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</si>
  <si>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</si>
  <si>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</si>
  <si>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</si>
  <si>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</si>
  <si>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</si>
  <si>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</si>
  <si>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</si>
  <si>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</si>
  <si>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</si>
  <si>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</si>
  <si>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</si>
  <si>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</si>
  <si>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</si>
  <si>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</si>
  <si>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</si>
  <si>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</si>
  <si>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</si>
  <si>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</si>
  <si>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</si>
  <si>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</si>
  <si>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</si>
  <si>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</si>
  <si>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</si>
  <si>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</si>
  <si>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</si>
  <si>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</si>
  <si>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</si>
  <si>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</si>
  <si>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</si>
  <si>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</si>
  <si>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</si>
  <si>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</si>
  <si>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</si>
  <si>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</si>
  <si>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</si>
  <si>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</si>
  <si>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</si>
  <si>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</si>
  <si>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</si>
  <si>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</si>
  <si>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</si>
  <si>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</si>
  <si>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</si>
  <si>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</si>
  <si>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</si>
  <si>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</si>
  <si>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</si>
  <si>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</si>
  <si>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</si>
  <si>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</si>
  <si>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</si>
  <si>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</si>
  <si>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</si>
  <si>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</si>
  <si>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</si>
  <si>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</si>
  <si>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</si>
  <si>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</si>
  <si>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</si>
  <si>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</si>
  <si>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</si>
  <si>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</si>
  <si>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</si>
  <si>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</si>
  <si>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</si>
  <si>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</si>
  <si>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</si>
  <si>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</si>
  <si>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</si>
  <si>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</si>
  <si>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</si>
  <si>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</si>
  <si>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</si>
  <si>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</si>
  <si>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</si>
  <si>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</si>
  <si>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</si>
  <si>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</si>
  <si>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</si>
  <si>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</si>
  <si>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</si>
  <si>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</si>
  <si>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</si>
  <si>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</si>
  <si>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</si>
  <si>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</si>
  <si>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</si>
  <si>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</si>
  <si>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</si>
  <si>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</si>
  <si>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</si>
  <si>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</si>
  <si>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</si>
  <si>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</si>
  <si>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</si>
  <si>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</si>
  <si>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</si>
  <si>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</si>
  <si>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</si>
  <si>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</si>
  <si>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</si>
  <si>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</si>
  <si>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</si>
  <si>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</si>
  <si>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</si>
  <si>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</si>
  <si>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</si>
  <si>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</si>
  <si>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</si>
  <si>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</si>
  <si>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</si>
  <si>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</si>
  <si>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</si>
  <si>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</si>
  <si>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</si>
  <si>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</si>
  <si>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</si>
  <si>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</si>
  <si>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</si>
  <si>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</si>
  <si>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</si>
  <si>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</si>
  <si>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</si>
  <si>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</si>
  <si>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</si>
  <si>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</si>
  <si>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</si>
  <si>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</si>
  <si>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</si>
  <si>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</si>
  <si>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</si>
  <si>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</si>
  <si>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</si>
  <si>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</si>
  <si>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</si>
  <si>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</si>
  <si>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</si>
  <si>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</si>
  <si>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</si>
  <si>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</si>
  <si>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</si>
  <si>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</si>
  <si>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</si>
  <si>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</si>
  <si>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</si>
  <si>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</si>
  <si>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</si>
  <si>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</si>
  <si>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</si>
  <si>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</si>
  <si>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</si>
  <si>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</si>
  <si>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</si>
  <si>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</si>
  <si>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</si>
  <si>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</si>
  <si>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</si>
  <si>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</si>
  <si>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</si>
  <si>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</si>
  <si>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</si>
  <si>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</si>
  <si>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</si>
  <si>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</si>
  <si>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</si>
  <si>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</si>
  <si>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</si>
  <si>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</si>
  <si>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</si>
  <si>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</si>
  <si>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</si>
  <si>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</si>
  <si>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</si>
  <si>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</si>
  <si>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</si>
  <si>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</si>
  <si>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</si>
  <si>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</si>
  <si>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</si>
  <si>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</si>
  <si>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</si>
  <si>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</si>
  <si>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</si>
  <si>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</si>
  <si>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</si>
  <si>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</si>
  <si>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</si>
  <si>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</si>
  <si>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</si>
  <si>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</si>
  <si>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</si>
  <si>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</si>
  <si>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</si>
  <si>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</si>
  <si>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</si>
  <si>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</si>
  <si>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</si>
  <si>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</si>
  <si>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</si>
  <si>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</si>
  <si>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</si>
  <si>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</si>
  <si>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</si>
  <si>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</si>
  <si>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</si>
  <si>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</si>
  <si>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</si>
  <si>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</si>
  <si>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</si>
  <si>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</si>
  <si>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</si>
  <si>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</si>
  <si>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</si>
  <si>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</si>
  <si>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</si>
  <si>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</si>
  <si>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</si>
  <si>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</si>
  <si>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</si>
  <si>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</si>
  <si>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</si>
  <si>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</si>
  <si>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</si>
  <si>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</si>
  <si>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</si>
  <si>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</si>
  <si>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</si>
  <si>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</si>
  <si>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</si>
  <si>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</si>
  <si>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</si>
  <si>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</si>
  <si>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</si>
  <si>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</si>
  <si>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</si>
  <si>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</si>
  <si>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</si>
  <si>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</si>
  <si>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</si>
  <si>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</si>
  <si>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</si>
  <si>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</si>
  <si>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</si>
  <si>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</si>
  <si>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</si>
  <si>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</si>
  <si>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</si>
  <si>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</si>
  <si>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</si>
  <si>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</si>
  <si>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</si>
  <si>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</si>
  <si>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</si>
  <si>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</si>
  <si>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</si>
  <si>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</si>
  <si>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</si>
  <si>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</si>
  <si>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</si>
  <si>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</si>
  <si>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</si>
  <si>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</si>
  <si>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</si>
  <si>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</si>
  <si>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</si>
  <si>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</si>
  <si>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</si>
  <si>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</si>
  <si>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</si>
  <si>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</si>
  <si>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</si>
  <si>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</si>
  <si>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</si>
  <si>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</si>
  <si>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</si>
  <si>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</si>
  <si>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</si>
  <si>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</si>
  <si>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</si>
  <si>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</si>
  <si>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</si>
  <si>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</si>
  <si>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</si>
  <si>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</si>
  <si>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</si>
  <si>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</si>
  <si>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</si>
  <si>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</si>
  <si>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</si>
  <si>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</si>
  <si>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</si>
  <si>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</si>
  <si>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</si>
  <si>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</si>
  <si>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</si>
  <si>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</si>
  <si>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</si>
  <si>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</si>
  <si>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</si>
  <si>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</si>
  <si>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</si>
  <si>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</si>
  <si>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</si>
  <si>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</si>
  <si>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</si>
  <si>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</si>
  <si>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</si>
  <si>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</si>
  <si>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</si>
  <si>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</si>
  <si>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</si>
  <si>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</si>
  <si>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</si>
  <si>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</si>
  <si>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</si>
  <si>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</si>
  <si>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</si>
  <si>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</si>
  <si>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</si>
  <si>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</si>
  <si>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</si>
  <si>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</si>
  <si>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</si>
  <si>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</si>
  <si>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</si>
  <si>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</si>
  <si>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</si>
  <si>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</si>
  <si>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</si>
  <si>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</si>
  <si>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</si>
  <si>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</si>
  <si>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</si>
  <si>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</si>
  <si>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</si>
  <si>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</si>
  <si>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</si>
  <si>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</si>
  <si>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</si>
  <si>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</si>
  <si>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</si>
  <si>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</si>
  <si>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</si>
  <si>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</si>
  <si>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</si>
  <si>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</si>
  <si>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</si>
  <si>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</si>
  <si>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</si>
  <si>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</si>
  <si>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</si>
  <si>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</si>
  <si>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</si>
  <si>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</si>
  <si>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</si>
  <si>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</si>
  <si>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</si>
  <si>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</si>
  <si>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</si>
  <si>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</si>
  <si>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</si>
  <si>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</si>
  <si>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</si>
  <si>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</si>
  <si>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</si>
  <si>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</si>
  <si>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</si>
  <si>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</si>
  <si>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</si>
  <si>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</si>
  <si>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</si>
  <si>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</si>
  <si>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</si>
  <si>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</si>
  <si>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</si>
  <si>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</si>
  <si>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</si>
  <si>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</si>
  <si>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</si>
  <si>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</si>
  <si>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</si>
  <si>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</si>
  <si>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</si>
  <si>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</si>
  <si>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</si>
  <si>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</si>
  <si>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</si>
  <si>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</si>
  <si>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</si>
  <si>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</si>
  <si>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</si>
  <si>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</si>
  <si>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</si>
  <si>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</si>
  <si>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</si>
  <si>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</si>
  <si>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</si>
  <si>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</si>
  <si>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</si>
  <si>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</si>
  <si>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</si>
  <si>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</si>
  <si>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</si>
  <si>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</si>
  <si>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</si>
  <si>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</si>
  <si>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</si>
  <si>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</si>
  <si>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</si>
  <si>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</si>
  <si>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</si>
  <si>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</si>
  <si>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</si>
  <si>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</si>
  <si>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</si>
  <si>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</si>
  <si>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</si>
  <si>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</si>
  <si>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</si>
  <si>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</si>
  <si>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</si>
  <si>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</si>
  <si>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</si>
  <si>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</si>
  <si>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</si>
  <si>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</si>
  <si>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</si>
  <si>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</si>
  <si>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</si>
  <si>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</si>
  <si>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</si>
  <si>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</si>
  <si>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</si>
  <si>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</si>
  <si>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</si>
  <si>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</si>
  <si>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</si>
  <si>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</si>
  <si>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</si>
  <si>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</si>
  <si>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</si>
  <si>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</si>
  <si>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</si>
  <si>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</si>
  <si>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</si>
  <si>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</si>
  <si>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</si>
  <si>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</si>
  <si>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</si>
  <si>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</si>
  <si>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</si>
  <si>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</si>
  <si>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</si>
  <si>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</si>
  <si>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</si>
  <si>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</si>
  <si>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</si>
  <si>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</si>
  <si>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</si>
  <si>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</si>
  <si>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</si>
  <si>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</si>
  <si>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</si>
  <si>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</si>
  <si>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</si>
  <si>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</si>
  <si>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</si>
  <si>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</si>
  <si>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</si>
  <si>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</si>
  <si>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</si>
  <si>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</si>
  <si>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</si>
  <si>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</si>
  <si>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</si>
  <si>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</si>
  <si>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</si>
  <si>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</si>
  <si>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</si>
  <si>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</si>
  <si>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</si>
  <si>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</si>
  <si>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</si>
  <si>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</si>
  <si>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</si>
  <si>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</si>
  <si>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</si>
  <si>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</si>
  <si>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</si>
  <si>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</si>
  <si>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</si>
  <si>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</si>
  <si>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</si>
  <si>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</si>
  <si>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</si>
  <si>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</si>
  <si>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</si>
  <si>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</si>
  <si>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</si>
  <si>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</si>
  <si>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</si>
  <si>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</si>
  <si>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</si>
  <si>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</si>
  <si>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</si>
  <si>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</si>
  <si>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</si>
  <si>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</si>
  <si>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</si>
  <si>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</si>
  <si>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</si>
  <si>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</si>
  <si>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</si>
  <si>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</si>
  <si>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</si>
  <si>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</si>
  <si>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</si>
  <si>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</si>
  <si>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</si>
  <si>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</si>
  <si>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</si>
  <si>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</si>
  <si>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</si>
  <si>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</si>
  <si>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</si>
  <si>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</si>
  <si>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</si>
  <si>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</si>
  <si>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</si>
  <si>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</si>
  <si>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</si>
  <si>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</si>
  <si>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</si>
  <si>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</si>
  <si>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</si>
  <si>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</si>
  <si>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</si>
  <si>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</si>
  <si>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</si>
  <si>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</si>
  <si>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</si>
  <si>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</si>
  <si>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</si>
  <si>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</si>
  <si>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</si>
  <si>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</si>
  <si>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</si>
  <si>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</si>
  <si>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</si>
  <si>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</si>
  <si>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</si>
  <si>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</si>
  <si>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</si>
  <si>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</si>
  <si>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</si>
  <si>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</si>
  <si>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</si>
  <si>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</si>
  <si>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</si>
  <si>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</si>
  <si>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</si>
  <si>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</si>
  <si>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</si>
  <si>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</si>
  <si>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</si>
  <si>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</si>
  <si>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</si>
  <si>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</si>
  <si>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</si>
  <si>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</si>
  <si>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</si>
  <si>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</si>
  <si>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</si>
  <si>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</si>
  <si>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</si>
  <si>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</si>
  <si>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</si>
  <si>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</si>
  <si>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</si>
  <si>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</si>
  <si>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</si>
  <si>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</si>
  <si>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</si>
  <si>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</si>
  <si>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</si>
  <si>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</si>
  <si>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</si>
  <si>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</si>
  <si>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</si>
  <si>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</si>
  <si>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</si>
  <si>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</si>
  <si>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</si>
  <si>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</si>
  <si>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</si>
  <si>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</si>
  <si>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</si>
  <si>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</si>
  <si>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</si>
  <si>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</si>
  <si>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</si>
  <si>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</si>
  <si>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</si>
  <si>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</si>
  <si>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</si>
  <si>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</si>
  <si>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</si>
  <si>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</si>
  <si>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</si>
  <si>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</si>
  <si>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</si>
  <si>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</si>
  <si>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</si>
  <si>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</si>
  <si>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</si>
  <si>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</si>
  <si>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</si>
  <si>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</si>
  <si>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</si>
  <si>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</si>
  <si>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</si>
  <si>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</si>
  <si>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</si>
  <si>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</si>
  <si>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</si>
  <si>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</si>
  <si>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</si>
  <si>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</si>
  <si>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</si>
  <si>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</si>
  <si>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</si>
  <si>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</si>
  <si>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</si>
  <si>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</si>
  <si>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</si>
  <si>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</si>
  <si>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</si>
  <si>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</si>
  <si>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</si>
  <si>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</si>
  <si>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</si>
  <si>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</si>
  <si>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</si>
  <si>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</si>
  <si>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</si>
  <si>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</si>
  <si>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</si>
  <si>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</si>
  <si>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</si>
  <si>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</si>
  <si>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</si>
  <si>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</si>
  <si>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</si>
  <si>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</si>
  <si>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</si>
  <si>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</si>
  <si>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</si>
  <si>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</si>
  <si>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</si>
  <si>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</si>
  <si>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</si>
  <si>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</si>
  <si>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</si>
  <si>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</si>
  <si>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</si>
  <si>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</si>
  <si>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</si>
  <si>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</si>
  <si>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</si>
  <si>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</si>
  <si>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</si>
  <si>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</si>
  <si>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</si>
  <si>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</si>
  <si>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</si>
  <si>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</si>
  <si>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</si>
  <si>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</si>
  <si>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</si>
  <si>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</si>
  <si>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</si>
  <si>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</si>
  <si>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</si>
  <si>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</si>
  <si>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</si>
  <si>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</si>
  <si>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</si>
  <si>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</si>
  <si>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</si>
  <si>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</si>
  <si>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</si>
  <si>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</si>
  <si>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</si>
  <si>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</si>
  <si>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</si>
  <si>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</si>
  <si>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</si>
  <si>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</si>
  <si>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</si>
  <si>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</si>
  <si>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</si>
  <si>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</si>
  <si>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</si>
  <si>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</si>
  <si>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</si>
  <si>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</si>
  <si>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</si>
  <si>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</si>
  <si>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</si>
  <si>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</si>
  <si>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</si>
  <si>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</si>
  <si>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</si>
  <si>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</si>
  <si>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</si>
  <si>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</si>
  <si>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</si>
  <si>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</si>
  <si>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</si>
  <si>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</si>
  <si>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</si>
  <si>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</si>
  <si>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</si>
  <si>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</si>
  <si>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</si>
  <si>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</si>
  <si>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</si>
  <si>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</si>
  <si>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</si>
  <si>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</si>
  <si>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</si>
  <si>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</si>
  <si>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</si>
  <si>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</si>
  <si>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</si>
  <si>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</si>
  <si>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</si>
  <si>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</si>
  <si>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</si>
  <si>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</si>
  <si>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</si>
  <si>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</si>
  <si>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</si>
  <si>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</si>
  <si>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</si>
  <si>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</si>
  <si>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</si>
  <si>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</si>
  <si>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</si>
  <si>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</si>
  <si>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</si>
  <si>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</si>
  <si>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</si>
  <si>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</si>
  <si>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</si>
  <si>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</si>
  <si>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</si>
  <si>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</si>
  <si>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</si>
  <si>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</si>
  <si>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</si>
  <si>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</si>
  <si>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</si>
  <si>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</si>
  <si>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</si>
  <si>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</si>
  <si>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</si>
  <si>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</si>
  <si>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</si>
  <si>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</si>
  <si>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</si>
  <si>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</si>
  <si>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</si>
  <si>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</si>
  <si>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</si>
  <si>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</si>
  <si>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</si>
  <si>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</si>
  <si>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</si>
  <si>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</si>
  <si>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</si>
  <si>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</si>
  <si>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</si>
  <si>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</si>
  <si>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</si>
  <si>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</si>
  <si>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</si>
  <si>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</si>
  <si>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</si>
  <si>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</si>
  <si>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</si>
  <si>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</si>
  <si>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</si>
  <si>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</si>
  <si>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</si>
  <si>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</si>
  <si>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</si>
  <si>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</si>
  <si>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</si>
  <si>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</si>
  <si>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</si>
  <si>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</si>
  <si>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</si>
  <si>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</si>
  <si>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</si>
  <si>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</si>
  <si>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</si>
  <si>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</si>
  <si>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</si>
  <si>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</si>
  <si>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</si>
  <si>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</si>
  <si>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</si>
  <si>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</si>
  <si>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</si>
  <si>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</si>
  <si>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</si>
  <si>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</si>
  <si>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</si>
  <si>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</si>
  <si>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</si>
  <si>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</si>
  <si>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</si>
  <si>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</si>
  <si>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</si>
  <si>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</si>
  <si>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</si>
  <si>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</si>
  <si>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</si>
  <si>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</si>
  <si>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</si>
  <si>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</si>
  <si>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</si>
  <si>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</si>
  <si>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</si>
  <si>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</si>
  <si>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</si>
  <si>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</si>
  <si>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</si>
  <si>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</si>
  <si>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</si>
  <si>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</si>
  <si>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</si>
  <si>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</si>
  <si>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</si>
  <si>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</si>
  <si>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</si>
  <si>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</si>
  <si>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</si>
  <si>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</si>
  <si>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</si>
  <si>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</si>
  <si>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</si>
  <si>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</si>
  <si>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</si>
  <si>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</si>
  <si>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</si>
  <si>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</si>
  <si>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</si>
  <si>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</si>
  <si>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</si>
  <si>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</si>
  <si>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</si>
  <si>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</si>
  <si>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</si>
  <si>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</si>
  <si>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</si>
  <si>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</si>
  <si>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</si>
  <si>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</si>
  <si>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</si>
  <si>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</si>
  <si>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</si>
  <si>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</si>
  <si>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</si>
  <si>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</si>
  <si>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</si>
  <si>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</si>
  <si>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</si>
  <si>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</si>
  <si>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</si>
  <si>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</si>
  <si>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</si>
  <si>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</si>
  <si>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</si>
  <si>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</si>
  <si>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</si>
  <si>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</si>
  <si>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</si>
  <si>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</si>
  <si>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</si>
  <si>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</si>
  <si>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</si>
  <si>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</si>
  <si>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</si>
  <si>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</si>
  <si>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</si>
  <si>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</si>
  <si>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</si>
  <si>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</si>
  <si>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</si>
  <si>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</si>
  <si>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</si>
  <si>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</si>
  <si>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</si>
  <si>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</si>
  <si>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</si>
  <si>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</si>
  <si>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</si>
  <si>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</si>
  <si>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</si>
  <si>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</si>
  <si>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</si>
  <si>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</si>
  <si>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</si>
  <si>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</si>
  <si>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</si>
  <si>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</si>
  <si>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</si>
  <si>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</si>
  <si>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</si>
  <si>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</si>
  <si>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</si>
  <si>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</si>
  <si>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</si>
  <si>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</si>
  <si>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</si>
  <si>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</si>
  <si>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</si>
  <si>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</si>
  <si>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</si>
  <si>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</si>
  <si>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</si>
  <si>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</si>
  <si>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</si>
  <si>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</si>
  <si>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</si>
  <si>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</si>
  <si>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</si>
  <si>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</si>
  <si>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</si>
  <si>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</si>
  <si>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</si>
  <si>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</si>
  <si>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</si>
  <si>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</si>
  <si>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</si>
  <si>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</si>
  <si>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</si>
  <si>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</si>
  <si>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</si>
  <si>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</si>
  <si>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</si>
  <si>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</si>
  <si>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</si>
  <si>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</si>
  <si>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</si>
  <si>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</si>
  <si>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</si>
  <si>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</si>
  <si>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</si>
  <si>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</si>
  <si>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</si>
  <si>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</si>
  <si>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</si>
  <si>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</si>
  <si>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</si>
  <si>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</si>
  <si>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</si>
  <si>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</si>
  <si>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</si>
  <si>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</si>
  <si>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</si>
  <si>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</si>
  <si>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</si>
  <si>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</si>
  <si>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</si>
  <si>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</si>
  <si>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</si>
  <si>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</si>
  <si>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</si>
  <si>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</si>
  <si>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</si>
  <si>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</si>
  <si>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</si>
  <si>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</si>
  <si>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</si>
  <si>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</si>
  <si>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</si>
  <si>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</si>
  <si>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</si>
  <si>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</si>
  <si>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</si>
  <si>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</si>
  <si>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</si>
  <si>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</si>
  <si>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</si>
  <si>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</si>
  <si>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</si>
  <si>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</si>
  <si>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</si>
  <si>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</si>
  <si>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</si>
  <si>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</si>
  <si>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</si>
  <si>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</si>
  <si>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</si>
  <si>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</si>
  <si>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</si>
  <si>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</si>
  <si>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</si>
  <si>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</si>
  <si>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</si>
  <si>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</si>
  <si>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</si>
  <si>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</si>
  <si>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</si>
  <si>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</si>
  <si>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</si>
  <si>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</si>
  <si>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</si>
  <si>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</si>
  <si>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</si>
  <si>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</si>
  <si>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</si>
  <si>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</si>
  <si>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</si>
  <si>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</si>
  <si>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</si>
  <si>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</si>
  <si>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</si>
  <si>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</si>
  <si>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</si>
  <si>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</si>
  <si>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</si>
  <si>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</si>
  <si>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</si>
  <si>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</si>
  <si>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</si>
  <si>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</si>
  <si>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</si>
  <si>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</si>
  <si>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</si>
  <si>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</si>
  <si>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</si>
  <si>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</si>
  <si>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</si>
  <si>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</si>
  <si>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</si>
  <si>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</si>
  <si>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</si>
  <si>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</si>
  <si>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</si>
  <si>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</si>
  <si>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</si>
  <si>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</si>
  <si>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</si>
  <si>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</si>
  <si>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</si>
  <si>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</si>
  <si>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</si>
  <si>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</si>
  <si>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</si>
  <si>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</si>
  <si>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</si>
  <si>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</si>
  <si>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</si>
  <si>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</si>
  <si>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</si>
  <si>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</si>
  <si>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</si>
  <si>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</si>
  <si>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</si>
  <si>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</si>
  <si>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</si>
  <si>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</si>
  <si>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</si>
  <si>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</si>
  <si>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</si>
  <si>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</si>
  <si>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</si>
  <si>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</si>
  <si>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</si>
  <si>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</si>
  <si>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</si>
  <si>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</si>
  <si>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</si>
  <si>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</si>
  <si>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</si>
  <si>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</si>
  <si>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</si>
  <si>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</si>
  <si>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</si>
  <si>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</si>
  <si>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</si>
  <si>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</si>
  <si>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</si>
  <si>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</si>
  <si>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</si>
  <si>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</si>
  <si>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</si>
  <si>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</si>
  <si>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</si>
  <si>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</si>
  <si>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</si>
  <si>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</si>
  <si>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</si>
  <si>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</si>
  <si>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</si>
  <si>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</si>
  <si>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</si>
  <si>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</si>
  <si>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</si>
  <si>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</si>
  <si>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</si>
  <si>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</si>
  <si>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</si>
  <si>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</si>
  <si>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</si>
  <si>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</si>
  <si>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</si>
  <si>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</si>
  <si>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</si>
  <si>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</si>
  <si>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</si>
  <si>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</si>
  <si>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</si>
  <si>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</si>
  <si>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</si>
  <si>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</si>
  <si>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</si>
  <si>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</si>
  <si>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</si>
  <si>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</si>
  <si>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</si>
  <si>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</si>
  <si>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</si>
  <si>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</si>
  <si>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</si>
  <si>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</si>
  <si>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</si>
  <si>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</si>
  <si>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</si>
  <si>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</si>
  <si>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</si>
  <si>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</si>
  <si>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</si>
  <si>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</si>
  <si>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</si>
  <si>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</si>
  <si>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</si>
  <si>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</si>
  <si>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</si>
  <si>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</si>
  <si>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</si>
  <si>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</si>
  <si>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</si>
  <si>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</si>
  <si>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</si>
  <si>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</si>
  <si>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</si>
  <si>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</si>
  <si>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</si>
  <si>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</si>
  <si>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</si>
  <si>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</si>
  <si>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</si>
  <si>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</si>
  <si>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</si>
  <si>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</si>
  <si>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</si>
  <si>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</si>
  <si>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</si>
  <si>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</si>
  <si>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</si>
  <si>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</si>
  <si>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</si>
  <si>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</si>
  <si>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</si>
  <si>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</si>
  <si>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</si>
  <si>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</si>
  <si>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</si>
  <si>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</si>
  <si>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</si>
  <si>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</si>
  <si>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</si>
  <si>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</si>
  <si>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</si>
  <si>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</si>
  <si>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</si>
  <si>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</si>
  <si>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</si>
  <si>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</si>
  <si>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</si>
  <si>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</si>
  <si>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</si>
  <si>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</si>
  <si>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</si>
  <si>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</si>
  <si>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</si>
  <si>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</si>
  <si>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</si>
  <si>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</si>
  <si>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</si>
  <si>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</si>
  <si>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</si>
  <si>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</si>
  <si>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</si>
  <si>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</si>
  <si>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</si>
  <si>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</si>
  <si>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</si>
  <si>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</si>
  <si>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</si>
  <si>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</si>
  <si>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</si>
  <si>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</si>
  <si>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</si>
  <si>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</si>
  <si>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</si>
  <si>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</si>
  <si>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</si>
  <si>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</si>
  <si>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</si>
  <si>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</si>
  <si>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</si>
  <si>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</si>
  <si>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</si>
  <si>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</si>
  <si>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</si>
  <si>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</si>
  <si>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</si>
  <si>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</si>
  <si>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</si>
  <si>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</si>
  <si>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</si>
  <si>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</si>
  <si>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</si>
  <si>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</si>
  <si>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</si>
  <si>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</si>
  <si>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</si>
  <si>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</si>
  <si>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</si>
  <si>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</si>
  <si>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</si>
  <si>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</si>
  <si>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</si>
  <si>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</si>
  <si>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</si>
  <si>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</si>
  <si>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</si>
  <si>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</si>
  <si>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</si>
  <si>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</si>
  <si>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</si>
  <si>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</si>
  <si>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</si>
  <si>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</si>
  <si>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</si>
  <si>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</si>
  <si>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</si>
  <si>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</si>
  <si>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</si>
  <si>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</si>
  <si>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</si>
  <si>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</si>
  <si>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</si>
  <si>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</si>
  <si>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</si>
  <si>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</si>
  <si>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</si>
  <si>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</si>
  <si>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</si>
  <si>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</si>
  <si>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</si>
  <si>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</si>
  <si>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</si>
  <si>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</si>
  <si>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</si>
  <si>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</si>
  <si>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</si>
  <si>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</si>
  <si>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</si>
  <si>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</si>
  <si>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</si>
  <si>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</si>
  <si>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</si>
  <si>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</si>
  <si>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</si>
  <si>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</si>
  <si>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</si>
  <si>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</si>
  <si>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</si>
  <si>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</si>
  <si>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</si>
  <si>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</si>
  <si>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</si>
  <si>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</si>
  <si>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</si>
  <si>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</si>
  <si>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</si>
  <si>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</si>
  <si>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</si>
  <si>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</si>
  <si>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</si>
  <si>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</si>
  <si>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</si>
  <si>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</si>
  <si>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</si>
  <si>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</si>
  <si>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</si>
  <si>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</si>
  <si>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</si>
  <si>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</si>
  <si>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</si>
  <si>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</si>
  <si>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</si>
  <si>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</si>
  <si>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</si>
  <si>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</si>
  <si>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</si>
  <si>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</si>
  <si>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</si>
  <si>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</si>
  <si>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</si>
  <si>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</si>
  <si>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</si>
  <si>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</si>
  <si>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</si>
  <si>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</si>
  <si>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</si>
  <si>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</si>
  <si>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</si>
  <si>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</si>
  <si>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</si>
  <si>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</si>
  <si>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</si>
  <si>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</si>
  <si>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</si>
  <si>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</si>
  <si>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</si>
  <si>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</si>
  <si>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</si>
  <si>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</si>
  <si>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</si>
  <si>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</si>
  <si>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</si>
  <si>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</si>
  <si>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</si>
  <si>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</si>
  <si>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</si>
  <si>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</si>
  <si>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</si>
  <si>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</si>
  <si>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</si>
  <si>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</si>
  <si>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</si>
  <si>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</si>
  <si>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</si>
  <si>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</si>
  <si>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</si>
  <si>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</si>
  <si>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</si>
  <si>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</si>
  <si>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</si>
  <si>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</si>
  <si>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</si>
  <si>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</si>
  <si>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</si>
  <si>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</si>
  <si>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</si>
  <si>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</si>
  <si>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</si>
  <si>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</si>
  <si>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</si>
  <si>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</si>
  <si>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</si>
  <si>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</si>
  <si>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</si>
  <si>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</si>
  <si>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</si>
  <si>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</si>
  <si>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</si>
  <si>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</si>
  <si>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</si>
  <si>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</si>
  <si>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</si>
  <si>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</si>
  <si>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</si>
  <si>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</si>
  <si>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</si>
  <si>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</si>
  <si>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</si>
  <si>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</si>
  <si>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</si>
  <si>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</si>
  <si>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</si>
  <si>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</si>
  <si>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</si>
  <si>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</si>
  <si>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</si>
  <si>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</si>
  <si>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</si>
  <si>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</si>
  <si>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</si>
  <si>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</si>
  <si>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</si>
  <si>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</si>
  <si>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</si>
  <si>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</si>
  <si>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</si>
  <si>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</si>
  <si>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</si>
  <si>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</si>
  <si>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</si>
  <si>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</si>
  <si>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</si>
  <si>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</si>
  <si>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</si>
  <si>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</si>
  <si>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</si>
  <si>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</si>
  <si>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</si>
  <si>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</si>
  <si>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</si>
  <si>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</si>
  <si>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</si>
  <si>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</si>
  <si>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</si>
  <si>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</si>
  <si>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</si>
  <si>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</si>
  <si>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</si>
  <si>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</si>
  <si>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</si>
  <si>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</si>
  <si>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</si>
  <si>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</si>
  <si>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</si>
  <si>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</si>
  <si>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</si>
  <si>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</si>
  <si>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</si>
  <si>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</si>
  <si>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</si>
  <si>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</si>
  <si>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</si>
  <si>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</si>
  <si>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</si>
  <si>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</si>
  <si>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</si>
  <si>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</si>
  <si>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</si>
  <si>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</si>
  <si>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</si>
  <si>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</si>
  <si>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</si>
  <si>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</si>
  <si>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</si>
  <si>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</si>
  <si>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</si>
  <si>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</si>
  <si>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</si>
  <si>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</si>
  <si>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</si>
  <si>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</si>
  <si>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</si>
  <si>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</si>
  <si>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</si>
  <si>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</si>
  <si>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</si>
  <si>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</si>
  <si>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</si>
  <si>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</si>
  <si>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</si>
  <si>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</si>
  <si>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</si>
  <si>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</si>
  <si>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</si>
  <si>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</si>
  <si>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</si>
  <si>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</si>
  <si>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</si>
  <si>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</si>
  <si>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</si>
  <si>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</si>
  <si>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</si>
  <si>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</si>
  <si>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</si>
  <si>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</si>
  <si>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</si>
  <si>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</si>
  <si>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</si>
  <si>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</si>
  <si>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</si>
  <si>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</si>
  <si>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</si>
  <si>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</si>
  <si>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</si>
  <si>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</si>
  <si>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</si>
  <si>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</si>
  <si>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</si>
  <si>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</si>
  <si>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</si>
  <si>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</si>
  <si>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</si>
  <si>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</si>
  <si>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</si>
  <si>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</si>
  <si>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</si>
  <si>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</si>
  <si>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</si>
  <si>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</si>
  <si>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</si>
  <si>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</si>
  <si>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</si>
  <si>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</si>
  <si>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</si>
  <si>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</si>
  <si>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</si>
  <si>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</si>
  <si>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</si>
  <si>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</si>
  <si>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</si>
  <si>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</si>
  <si>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</si>
  <si>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</si>
  <si>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</si>
  <si>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</si>
  <si>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</si>
  <si>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</si>
  <si>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</si>
  <si>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</si>
  <si>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</si>
  <si>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</si>
  <si>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</si>
  <si>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</si>
  <si>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</si>
  <si>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</si>
  <si>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</si>
  <si>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</si>
  <si>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</si>
  <si>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</si>
  <si>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</si>
  <si>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</si>
  <si>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</si>
  <si>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</si>
  <si>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</si>
  <si>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</si>
  <si>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</si>
  <si>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</si>
  <si>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</si>
  <si>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</si>
  <si>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</si>
  <si>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</si>
  <si>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</si>
  <si>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</si>
  <si>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</si>
  <si>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</si>
  <si>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</si>
  <si>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</si>
  <si>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</si>
  <si>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</si>
  <si>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</si>
  <si>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</si>
  <si>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</si>
  <si>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</si>
  <si>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</si>
  <si>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</si>
  <si>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</si>
  <si>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</si>
  <si>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</si>
  <si>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</si>
  <si>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</si>
  <si>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</si>
  <si>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</si>
  <si>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</si>
  <si>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</si>
  <si>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</si>
  <si>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</si>
  <si>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</si>
  <si>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</si>
  <si>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</si>
  <si>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</si>
  <si>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</si>
  <si>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</si>
  <si>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</si>
  <si>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</si>
  <si>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</si>
  <si>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</si>
  <si>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</si>
  <si>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</si>
  <si>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</si>
  <si>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</si>
  <si>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</si>
  <si>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</si>
  <si>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</si>
  <si>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</si>
  <si>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</si>
  <si>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</si>
  <si>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</si>
  <si>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</si>
  <si>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</si>
  <si>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</si>
  <si>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</si>
  <si>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</si>
  <si>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</si>
  <si>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</si>
  <si>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</si>
  <si>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</si>
  <si>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</si>
  <si>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</si>
  <si>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</si>
  <si>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</si>
  <si>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</si>
  <si>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</si>
  <si>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</si>
  <si>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</si>
  <si>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</si>
  <si>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</si>
  <si>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</si>
  <si>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</si>
  <si>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</si>
  <si>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</si>
  <si>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</si>
  <si>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</si>
  <si>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</si>
  <si>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</si>
  <si>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</si>
  <si>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</si>
  <si>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</si>
  <si>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</si>
  <si>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</si>
  <si>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</si>
  <si>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</si>
  <si>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</si>
  <si>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</si>
  <si>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</si>
  <si>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</si>
  <si>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</si>
  <si>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</si>
  <si>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</si>
  <si>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</si>
  <si>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</si>
  <si>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</si>
  <si>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</si>
  <si>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</si>
  <si>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</si>
  <si>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</si>
  <si>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</si>
  <si>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</si>
  <si>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</si>
  <si>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</si>
  <si>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</si>
  <si>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</si>
  <si>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</si>
  <si>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</si>
  <si>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</si>
  <si>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</si>
  <si>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</si>
  <si>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</si>
  <si>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</si>
  <si>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</si>
  <si>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</si>
  <si>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</si>
  <si>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</si>
  <si>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</si>
  <si>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</si>
  <si>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</si>
  <si>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</si>
  <si>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</si>
  <si>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</si>
  <si>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</si>
  <si>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</si>
  <si>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</si>
  <si>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</si>
  <si>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</si>
  <si>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</si>
  <si>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</si>
  <si>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</si>
  <si>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</si>
  <si>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</si>
  <si>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</si>
  <si>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</si>
  <si>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</si>
  <si>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</si>
  <si>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</si>
  <si>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</si>
  <si>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</si>
  <si>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</si>
  <si>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</si>
  <si>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</si>
  <si>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</si>
  <si>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</si>
  <si>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</si>
  <si>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</si>
  <si>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</si>
  <si>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</si>
  <si>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</si>
  <si>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</si>
  <si>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</si>
  <si>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</si>
  <si>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</si>
  <si>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</si>
  <si>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</si>
  <si>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</si>
  <si>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</si>
  <si>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</si>
  <si>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</si>
  <si>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</si>
  <si>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</si>
  <si>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</si>
  <si>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</si>
  <si>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</si>
  <si>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</si>
  <si>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</si>
  <si>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</si>
  <si>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</si>
  <si>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</si>
  <si>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</si>
  <si>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</si>
  <si>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</si>
  <si>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</si>
  <si>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</si>
  <si>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</si>
  <si>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</si>
  <si>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</si>
  <si>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</si>
  <si>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</si>
  <si>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</si>
  <si>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</si>
  <si>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</si>
  <si>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</si>
  <si>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</si>
  <si>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</si>
  <si>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</si>
  <si>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</si>
  <si>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</si>
  <si>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</si>
  <si>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</si>
  <si>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</si>
  <si>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</si>
  <si>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</si>
  <si>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</si>
  <si>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</si>
  <si>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</si>
  <si>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</si>
  <si>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</si>
  <si>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</si>
  <si>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</si>
  <si>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</si>
  <si>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</si>
  <si>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</si>
  <si>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</si>
  <si>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</si>
  <si>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</si>
  <si>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</si>
  <si>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</si>
  <si>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</si>
  <si>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</si>
  <si>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</si>
  <si>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</si>
  <si>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</si>
  <si>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</si>
  <si>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</si>
  <si>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</si>
  <si>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</si>
  <si>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</si>
  <si>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</si>
  <si>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</si>
  <si>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</si>
  <si>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</si>
  <si>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</si>
  <si>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</si>
  <si>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</si>
  <si>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</si>
  <si>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</si>
  <si>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</si>
  <si>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</si>
  <si>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</si>
  <si>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</si>
  <si>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</si>
  <si>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</si>
  <si>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</si>
  <si>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</si>
  <si>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</si>
  <si>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</si>
  <si>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</si>
  <si>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</si>
  <si>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</si>
  <si>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</si>
  <si>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</si>
  <si>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</si>
  <si>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</si>
  <si>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</si>
  <si>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</si>
  <si>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</si>
  <si>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</si>
  <si>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</si>
  <si>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</si>
  <si>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</si>
  <si>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</si>
  <si>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</si>
  <si>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</si>
  <si>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</si>
  <si>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</si>
  <si>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</si>
  <si>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</si>
  <si>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</si>
  <si>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</si>
  <si>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</si>
  <si>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</si>
  <si>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</si>
  <si>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</si>
  <si>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</si>
  <si>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</si>
  <si>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</si>
  <si>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</si>
  <si>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</si>
  <si>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</si>
  <si>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</si>
  <si>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</si>
  <si>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</si>
  <si>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</si>
  <si>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</si>
  <si>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</si>
  <si>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</si>
  <si>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</si>
  <si>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</si>
  <si>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</si>
  <si>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</si>
  <si>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</si>
  <si>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</si>
  <si>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</si>
  <si>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</si>
  <si>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</si>
  <si>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</si>
  <si>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</si>
  <si>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</si>
  <si>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</si>
  <si>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</si>
  <si>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</si>
  <si>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</si>
  <si>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</si>
  <si>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</si>
  <si>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</si>
  <si>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</si>
  <si>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</si>
  <si>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</si>
  <si>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</si>
  <si>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</si>
  <si>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</si>
  <si>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</si>
  <si>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</si>
  <si>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</si>
  <si>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</si>
  <si>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</si>
  <si>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</si>
  <si>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</si>
  <si>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</si>
  <si>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</si>
  <si>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</si>
  <si>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</si>
  <si>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</si>
  <si>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</si>
  <si>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</si>
  <si>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</si>
  <si>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</si>
  <si>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</si>
  <si>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</si>
  <si>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</si>
  <si>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</si>
  <si>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</si>
  <si>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</si>
  <si>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</si>
  <si>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</si>
  <si>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</si>
  <si>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</si>
  <si>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</si>
  <si>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</si>
  <si>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</si>
  <si>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</si>
  <si>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</si>
  <si>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</si>
  <si>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</si>
  <si>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</si>
  <si>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</si>
  <si>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</si>
  <si>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</si>
  <si>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</si>
  <si>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</si>
  <si>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</si>
  <si>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</si>
  <si>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</si>
  <si>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</si>
  <si>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</si>
  <si>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</si>
  <si>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</si>
  <si>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</si>
  <si>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</si>
  <si>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</si>
  <si>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</si>
  <si>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</si>
  <si>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</si>
  <si>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</si>
  <si>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</si>
  <si>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</si>
  <si>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</si>
  <si>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</si>
  <si>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</si>
  <si>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</si>
  <si>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</si>
  <si>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</si>
  <si>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</si>
  <si>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</si>
  <si>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</si>
  <si>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</si>
  <si>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</si>
  <si>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</si>
  <si>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</si>
  <si>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</si>
  <si>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</si>
  <si>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</si>
  <si>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</si>
  <si>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</si>
  <si>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</si>
  <si>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</si>
  <si>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</si>
  <si>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</si>
  <si>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</si>
  <si>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</si>
  <si>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</si>
  <si>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</si>
  <si>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</si>
  <si>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</si>
  <si>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</si>
  <si>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</si>
  <si>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</si>
  <si>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</si>
  <si>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</si>
  <si>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</si>
  <si>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</si>
  <si>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</si>
  <si>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</si>
  <si>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</si>
  <si>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</si>
  <si>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</si>
  <si>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</si>
  <si>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</si>
  <si>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</si>
  <si>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</si>
  <si>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</si>
  <si>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</si>
  <si>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</si>
  <si>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</si>
  <si>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</si>
  <si>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</si>
  <si>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</si>
  <si>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</si>
  <si>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</si>
  <si>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</si>
  <si>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</si>
  <si>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</si>
  <si>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</si>
  <si>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</si>
  <si>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</si>
  <si>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</si>
  <si>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</si>
  <si>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</si>
  <si>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</si>
  <si>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</si>
  <si>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</si>
  <si>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</si>
  <si>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</si>
  <si>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</si>
  <si>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</si>
  <si>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</si>
  <si>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</si>
  <si>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</si>
  <si>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</si>
  <si>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</si>
  <si>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</si>
  <si>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</si>
  <si>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</si>
  <si>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</si>
  <si>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</si>
  <si>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</si>
  <si>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</si>
  <si>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</si>
  <si>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</si>
  <si>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</si>
  <si>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</si>
  <si>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</si>
  <si>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</si>
  <si>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</si>
  <si>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</si>
  <si>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</si>
  <si>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</si>
  <si>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</si>
  <si>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</si>
  <si>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</si>
  <si>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</si>
  <si>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</si>
  <si>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</si>
  <si>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</si>
  <si>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</si>
  <si>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</si>
  <si>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</si>
  <si>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</si>
  <si>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</si>
  <si>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</si>
  <si>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</si>
  <si>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</si>
  <si>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</si>
  <si>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</si>
  <si>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</si>
  <si>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</si>
  <si>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</si>
  <si>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</si>
  <si>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</si>
  <si>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</si>
  <si>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</si>
  <si>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</si>
  <si>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</si>
  <si>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</si>
  <si>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</si>
  <si>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</si>
  <si>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</si>
  <si>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</si>
  <si>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</si>
  <si>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</si>
  <si>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</si>
  <si>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</si>
  <si>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</si>
  <si>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</si>
  <si>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</si>
  <si>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</si>
  <si>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</si>
  <si>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</si>
  <si>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</si>
  <si>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</si>
  <si>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</si>
  <si>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</si>
  <si>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</si>
  <si>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</si>
  <si>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</si>
  <si>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</si>
  <si>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</si>
  <si>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</si>
  <si>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</si>
  <si>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</si>
  <si>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</si>
  <si>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</si>
  <si>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</si>
  <si>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</si>
  <si>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</si>
  <si>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</si>
  <si>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</si>
  <si>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</si>
  <si>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</si>
  <si>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</si>
  <si>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</si>
  <si>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</si>
  <si>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</si>
  <si>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</si>
  <si>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</si>
  <si>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</si>
  <si>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</si>
  <si>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</si>
  <si>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</si>
  <si>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</si>
  <si>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</si>
  <si>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</si>
  <si>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</si>
  <si>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</si>
  <si>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</si>
  <si>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</si>
  <si>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</si>
  <si>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</si>
  <si>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</si>
  <si>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</si>
  <si>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</si>
  <si>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</si>
  <si>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</si>
  <si>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</si>
  <si>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</si>
  <si>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</si>
  <si>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</si>
  <si>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</si>
  <si>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</si>
  <si>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</si>
  <si>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</si>
  <si>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</si>
  <si>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</si>
  <si>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</si>
  <si>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</si>
  <si>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</si>
  <si>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</si>
  <si>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</si>
  <si>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</si>
  <si>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</si>
  <si>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</si>
  <si>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</si>
  <si>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</si>
  <si>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</si>
  <si>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</si>
  <si>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</si>
  <si>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</si>
  <si>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</si>
  <si>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</si>
  <si>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</si>
  <si>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</si>
  <si>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</si>
  <si>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</si>
  <si>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</si>
  <si>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</si>
  <si>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</si>
  <si>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</si>
  <si>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</si>
  <si>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</si>
  <si>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</si>
  <si>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</si>
  <si>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</si>
  <si>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</si>
  <si>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</si>
  <si>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</si>
  <si>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</si>
  <si>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</si>
  <si>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</si>
  <si>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</si>
  <si>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</si>
  <si>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</si>
  <si>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</si>
  <si>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</si>
  <si>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</si>
  <si>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</si>
  <si>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</si>
  <si>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</si>
  <si>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</si>
  <si>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</si>
  <si>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</si>
  <si>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</si>
  <si>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</si>
  <si>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</si>
  <si>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</si>
  <si>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</si>
  <si>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</si>
  <si>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</si>
  <si>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</si>
  <si>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</si>
  <si>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</si>
  <si>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</si>
  <si>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</si>
  <si>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</si>
  <si>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</si>
  <si>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</si>
  <si>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</si>
  <si>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</si>
  <si>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</si>
  <si>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</si>
  <si>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</si>
  <si>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</si>
  <si>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</si>
  <si>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</si>
  <si>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</si>
  <si>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</si>
  <si>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</si>
  <si>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</si>
  <si>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</si>
  <si>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</si>
  <si>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</si>
  <si>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</si>
  <si>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</si>
  <si>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</si>
  <si>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</si>
  <si>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</si>
  <si>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</si>
  <si>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</si>
  <si>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</si>
  <si>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</si>
  <si>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</si>
  <si>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</si>
  <si>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</si>
  <si>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</si>
  <si>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</si>
  <si>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</si>
  <si>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</si>
  <si>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</si>
  <si>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</si>
  <si>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</si>
  <si>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</si>
  <si>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</si>
  <si>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</si>
  <si>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</si>
  <si>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</si>
  <si>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</si>
  <si>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</si>
  <si>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</si>
  <si>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</si>
  <si>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</si>
  <si>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</si>
  <si>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</si>
  <si>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</si>
  <si>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</si>
  <si>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</si>
  <si>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</si>
  <si>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</si>
  <si>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</si>
  <si>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</si>
  <si>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</si>
  <si>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</si>
  <si>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</si>
  <si>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</si>
  <si>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</si>
  <si>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</si>
  <si>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</si>
  <si>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</si>
  <si>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</si>
  <si>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</si>
  <si>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</si>
  <si>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</si>
  <si>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</si>
  <si>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</si>
  <si>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</si>
  <si>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</si>
  <si>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</si>
  <si>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</si>
  <si>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</si>
  <si>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</si>
  <si>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</si>
  <si>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</si>
  <si>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</si>
  <si>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</si>
  <si>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</si>
  <si>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</si>
  <si>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</si>
  <si>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</si>
  <si>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</si>
  <si>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</si>
  <si>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</si>
  <si>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</si>
  <si>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</si>
  <si>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</si>
  <si>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</si>
  <si>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</si>
  <si>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</si>
  <si>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</si>
  <si>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</si>
  <si>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</si>
  <si>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</si>
  <si>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</si>
  <si>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</si>
  <si>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</si>
  <si>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</si>
  <si>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</si>
  <si>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</si>
  <si>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</si>
  <si>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</si>
  <si>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</si>
  <si>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</si>
  <si>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</si>
  <si>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</si>
  <si>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</si>
  <si>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</si>
  <si>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</si>
  <si>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</si>
  <si>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</si>
  <si>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</si>
  <si>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</si>
  <si>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</si>
  <si>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</si>
  <si>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</si>
  <si>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</si>
  <si>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</si>
  <si>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</si>
  <si>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</si>
  <si>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</si>
  <si>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</si>
  <si>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</si>
  <si>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</si>
  <si>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</si>
  <si>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</si>
  <si>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</si>
  <si>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</si>
  <si>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</si>
  <si>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</si>
  <si>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</si>
  <si>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</si>
  <si>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</si>
  <si>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</si>
  <si>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</si>
  <si>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</si>
  <si>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</si>
  <si>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</si>
  <si>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</si>
  <si>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</si>
  <si>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</si>
  <si>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</si>
  <si>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</si>
  <si>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</si>
  <si>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</si>
  <si>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</si>
  <si>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</si>
  <si>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</si>
  <si>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</si>
  <si>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</si>
  <si>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</si>
  <si>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</si>
  <si>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</si>
  <si>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</si>
  <si>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</si>
  <si>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</si>
  <si>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</si>
  <si>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</si>
  <si>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</si>
  <si>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</si>
  <si>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</si>
  <si>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</si>
  <si>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</si>
  <si>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</si>
  <si>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</si>
  <si>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</si>
  <si>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</si>
  <si>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</si>
  <si>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</si>
  <si>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</si>
  <si>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</si>
  <si>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</si>
  <si>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</si>
  <si>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</si>
  <si>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</si>
  <si>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</si>
  <si>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</si>
  <si>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</si>
  <si>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</si>
  <si>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</si>
  <si>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</si>
  <si>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</si>
  <si>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</si>
  <si>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</si>
  <si>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</si>
  <si>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</si>
  <si>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</si>
  <si>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</si>
  <si>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</si>
  <si>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</si>
  <si>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</si>
  <si>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</si>
  <si>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</si>
  <si>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</si>
  <si>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</si>
  <si>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</si>
  <si>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</si>
  <si>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</si>
  <si>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</si>
  <si>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</si>
  <si>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</si>
  <si>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</si>
  <si>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</si>
  <si>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</si>
  <si>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</si>
  <si>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</si>
  <si>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</si>
  <si>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</si>
  <si>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</si>
  <si>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</si>
  <si>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</si>
  <si>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</si>
  <si>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</si>
  <si>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</si>
  <si>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</si>
  <si>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</si>
  <si>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</si>
  <si>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</si>
  <si>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</si>
  <si>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</si>
  <si>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</si>
  <si>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</si>
  <si>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</si>
  <si>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</si>
  <si>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</si>
  <si>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</si>
  <si>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</si>
  <si>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</si>
  <si>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</si>
  <si>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</si>
  <si>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</si>
  <si>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</si>
  <si>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</si>
  <si>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</si>
  <si>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</si>
  <si>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</si>
  <si>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</si>
  <si>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</si>
  <si>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</si>
  <si>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</si>
  <si>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</si>
  <si>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</si>
  <si>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</si>
  <si>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</si>
  <si>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</si>
  <si>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</si>
  <si>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</si>
  <si>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</si>
  <si>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</si>
  <si>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</si>
  <si>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</si>
  <si>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</si>
  <si>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</si>
  <si>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</si>
  <si>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</si>
  <si>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</si>
  <si>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</si>
  <si>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</si>
  <si>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</si>
  <si>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</si>
  <si>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</si>
  <si>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</si>
  <si>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</si>
  <si>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</si>
  <si>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</si>
  <si>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</si>
  <si>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</si>
  <si>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</si>
  <si>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</si>
  <si>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</si>
  <si>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</si>
  <si>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</si>
  <si>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</si>
  <si>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</si>
  <si>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</si>
  <si>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</si>
  <si>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</si>
  <si>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</si>
  <si>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</si>
  <si>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</si>
  <si>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</si>
  <si>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</si>
  <si>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</si>
  <si>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</si>
  <si>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</si>
  <si>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</si>
  <si>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</si>
  <si>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</si>
  <si>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</si>
  <si>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</si>
  <si>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</si>
  <si>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</si>
  <si>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</si>
  <si>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</si>
  <si>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</si>
  <si>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</si>
  <si>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</si>
  <si>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</si>
  <si>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</si>
  <si>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</si>
  <si>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</si>
  <si>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</si>
  <si>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</si>
  <si>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</si>
  <si>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</si>
  <si>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</si>
  <si>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</si>
  <si>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</si>
  <si>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</si>
  <si>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</si>
  <si>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</si>
  <si>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</si>
  <si>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</si>
  <si>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</si>
  <si>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</si>
  <si>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</si>
  <si>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</si>
  <si>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</si>
  <si>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</si>
  <si>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</si>
  <si>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</si>
  <si>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</si>
  <si>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</si>
  <si>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</si>
  <si>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</si>
  <si>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</si>
  <si>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</si>
  <si>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</si>
  <si>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</si>
  <si>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</si>
  <si>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</si>
  <si>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</si>
  <si>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</si>
  <si>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</si>
  <si>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</si>
  <si>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</si>
  <si>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</si>
  <si>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</si>
  <si>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</si>
  <si>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</si>
  <si>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</si>
  <si>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</si>
  <si>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</si>
  <si>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</si>
  <si>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</si>
  <si>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</si>
  <si>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</si>
  <si>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</si>
  <si>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</si>
  <si>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</si>
  <si>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</si>
  <si>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</si>
  <si>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</si>
  <si>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</si>
  <si>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</si>
  <si>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</si>
  <si>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</si>
  <si>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</si>
  <si>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</si>
  <si>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</si>
  <si>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</si>
  <si>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</si>
  <si>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</si>
  <si>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</si>
  <si>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</si>
  <si>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</si>
  <si>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</si>
  <si>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</si>
  <si>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</si>
  <si>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</si>
  <si>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</si>
  <si>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</si>
  <si>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</si>
  <si>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</si>
  <si>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</si>
  <si>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</si>
  <si>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</si>
  <si>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</si>
  <si>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</si>
  <si>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</si>
  <si>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</si>
  <si>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</si>
  <si>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</si>
  <si>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</si>
  <si>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</si>
  <si>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</si>
  <si>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</si>
  <si>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</si>
  <si>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</si>
  <si>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</si>
  <si>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</si>
  <si>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</si>
  <si>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</si>
  <si>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</si>
  <si>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</si>
  <si>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</si>
  <si>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</si>
  <si>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</si>
  <si>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</si>
  <si>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</si>
  <si>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</si>
  <si>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</si>
  <si>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</si>
  <si>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</si>
  <si>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</si>
  <si>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</si>
  <si>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</si>
  <si>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</si>
  <si>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</si>
  <si>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</si>
  <si>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</si>
  <si>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</si>
  <si>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</si>
  <si>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</si>
  <si>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</si>
  <si>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</si>
  <si>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</si>
  <si>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</si>
  <si>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</si>
  <si>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</si>
  <si>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</si>
  <si>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</si>
  <si>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</si>
  <si>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</si>
  <si>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</si>
  <si>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</si>
  <si>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</si>
  <si>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</si>
  <si>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</si>
  <si>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</si>
  <si>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</si>
  <si>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</si>
  <si>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</si>
  <si>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</si>
  <si>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</si>
  <si>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</si>
  <si>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</si>
  <si>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</si>
  <si>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</si>
  <si>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</si>
  <si>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</si>
  <si>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</si>
  <si>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</si>
  <si>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</si>
  <si>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</si>
  <si>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</si>
  <si>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</si>
  <si>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</si>
  <si>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</si>
  <si>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</si>
  <si>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</si>
  <si>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</si>
  <si>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</si>
  <si>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</si>
  <si>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</si>
  <si>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</si>
  <si>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</si>
  <si>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</si>
  <si>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</si>
  <si>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</si>
  <si>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</si>
  <si>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</si>
  <si>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</si>
  <si>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</si>
  <si>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</si>
  <si>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</si>
  <si>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</si>
  <si>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</si>
  <si>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</si>
  <si>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</si>
  <si>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</si>
  <si>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</si>
  <si>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</si>
  <si>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</si>
  <si>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</si>
  <si>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</si>
  <si>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</si>
  <si>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</si>
  <si>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</si>
  <si>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</si>
  <si>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</si>
  <si>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</si>
  <si>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</si>
  <si>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</si>
  <si>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</si>
  <si>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</si>
  <si>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</si>
  <si>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</si>
  <si>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</si>
  <si>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</si>
  <si>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</si>
  <si>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</si>
  <si>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</si>
  <si>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</si>
  <si>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</si>
  <si>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</si>
  <si>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</si>
  <si>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</si>
  <si>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</si>
  <si>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</si>
  <si>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</si>
  <si>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</si>
  <si>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</si>
  <si>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</si>
  <si>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</si>
  <si>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</si>
  <si>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</si>
  <si>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</si>
  <si>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</si>
  <si>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</si>
  <si>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</si>
  <si>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</si>
  <si>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</si>
  <si>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</si>
  <si>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</si>
  <si>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</si>
  <si>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</si>
  <si>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</si>
  <si>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</si>
  <si>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</si>
  <si>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</si>
  <si>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</si>
  <si>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</si>
  <si>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</si>
  <si>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</si>
  <si>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</si>
  <si>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</si>
  <si>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</si>
  <si>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</si>
  <si>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</si>
  <si>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</si>
  <si>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</si>
  <si>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</si>
  <si>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</si>
  <si>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</si>
  <si>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</si>
  <si>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</si>
  <si>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</si>
  <si>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</si>
  <si>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</si>
  <si>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</si>
  <si>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</si>
  <si>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</si>
  <si>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</si>
  <si>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</si>
  <si>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</si>
  <si>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</si>
  <si>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</si>
  <si>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</si>
  <si>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</si>
  <si>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</si>
  <si>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</si>
  <si>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</si>
  <si>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</si>
  <si>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</si>
  <si>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</si>
  <si>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</si>
  <si>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</si>
  <si>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</si>
  <si>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</si>
  <si>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</si>
  <si>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</si>
  <si>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</si>
  <si>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</si>
  <si>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</si>
  <si>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</si>
  <si>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</si>
  <si>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</si>
  <si>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</si>
  <si>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</si>
  <si>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</si>
  <si>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</si>
  <si>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</si>
  <si>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</si>
  <si>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</si>
  <si>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</si>
  <si>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</si>
  <si>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</si>
  <si>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</si>
  <si>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</si>
  <si>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</si>
  <si>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</si>
  <si>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</si>
  <si>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</si>
  <si>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</si>
  <si>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</si>
  <si>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</si>
  <si>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</si>
  <si>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</si>
  <si>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</si>
  <si>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</si>
  <si>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</si>
  <si>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</si>
  <si>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</si>
  <si>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</si>
  <si>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</si>
  <si>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</si>
  <si>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</si>
  <si>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</si>
  <si>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</si>
  <si>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</si>
  <si>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</si>
  <si>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</si>
  <si>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</si>
  <si>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</si>
  <si>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</si>
  <si>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</si>
  <si>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</si>
  <si>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</si>
  <si>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</si>
  <si>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</si>
  <si>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</si>
  <si>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</si>
  <si>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</si>
  <si>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</si>
  <si>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</si>
  <si>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</si>
  <si>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</si>
  <si>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</si>
  <si>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</si>
  <si>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</si>
  <si>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</si>
  <si>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</si>
  <si>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</si>
  <si>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</si>
  <si>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</si>
  <si>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</si>
  <si>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</si>
  <si>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</si>
  <si>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</si>
  <si>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</si>
  <si>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</si>
  <si>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</si>
  <si>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</si>
  <si>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</si>
  <si>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</si>
  <si>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</si>
  <si>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</si>
  <si>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</si>
  <si>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</si>
  <si>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</si>
  <si>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</si>
  <si>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</si>
  <si>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</si>
  <si>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</si>
  <si>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</si>
  <si>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</si>
  <si>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</si>
  <si>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</si>
  <si>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</si>
  <si>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</si>
  <si>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</si>
  <si>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</si>
  <si>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</si>
  <si>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</si>
  <si>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</si>
  <si>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</si>
  <si>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</si>
  <si>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</si>
  <si>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</si>
  <si>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</si>
  <si>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</si>
  <si>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</si>
  <si>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</si>
  <si>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</si>
  <si>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</si>
  <si>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</si>
  <si>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</si>
  <si>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</si>
  <si>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</si>
  <si>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</si>
  <si>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</si>
  <si>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</si>
  <si>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</si>
  <si>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</si>
  <si>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</si>
  <si>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</si>
  <si>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</si>
  <si>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</si>
  <si>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</si>
  <si>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</si>
  <si>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</si>
  <si>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</si>
  <si>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</si>
  <si>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</si>
  <si>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</si>
  <si>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</si>
  <si>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</si>
  <si>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</si>
  <si>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</si>
  <si>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</si>
  <si>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</si>
  <si>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</si>
  <si>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</si>
  <si>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</si>
  <si>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</si>
  <si>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</si>
  <si>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</si>
  <si>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</si>
  <si>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</si>
  <si>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</si>
  <si>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</si>
  <si>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</si>
  <si>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</si>
  <si>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</si>
  <si>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</si>
  <si>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</si>
  <si>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</si>
  <si>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</si>
  <si>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</si>
  <si>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</si>
  <si>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</si>
  <si>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</si>
  <si>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</si>
  <si>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</si>
  <si>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</si>
  <si>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</si>
  <si>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</si>
  <si>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</si>
  <si>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</si>
  <si>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</si>
  <si>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</si>
  <si>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</si>
  <si>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</si>
  <si>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</si>
  <si>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</si>
  <si>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</si>
  <si>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</si>
  <si>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</si>
  <si>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</si>
  <si>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</si>
  <si>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</si>
  <si>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</si>
  <si>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</si>
  <si>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</si>
  <si>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</si>
  <si>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</si>
  <si>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</si>
  <si>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</si>
  <si>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</si>
  <si>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</si>
  <si>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</si>
  <si>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</si>
  <si>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</si>
  <si>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</si>
  <si>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</si>
  <si>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</si>
  <si>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</si>
  <si>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</si>
  <si>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</si>
  <si>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</si>
  <si>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</si>
  <si>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</si>
  <si>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</si>
  <si>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</si>
  <si>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</si>
  <si>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</si>
  <si>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</si>
  <si>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</si>
  <si>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</si>
  <si>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</si>
  <si>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</si>
  <si>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</si>
  <si>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</si>
  <si>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</si>
  <si>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</si>
  <si>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</si>
  <si>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</si>
  <si>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</si>
  <si>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</si>
  <si>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</si>
  <si>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</si>
  <si>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</si>
  <si>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</si>
  <si>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</si>
  <si>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</si>
  <si>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</si>
  <si>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</si>
  <si>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</si>
  <si>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</si>
  <si>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</si>
  <si>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</si>
  <si>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</si>
  <si>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</si>
  <si>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</si>
  <si>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</si>
  <si>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</si>
  <si>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</si>
  <si>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</si>
  <si>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</si>
  <si>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</si>
  <si>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</si>
  <si>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</si>
  <si>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</si>
  <si>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</si>
  <si>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</si>
  <si>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</si>
  <si>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</si>
  <si>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</si>
  <si>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</si>
  <si>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</si>
  <si>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</si>
  <si>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</si>
  <si>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</si>
  <si>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</si>
  <si>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</si>
  <si>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</si>
  <si>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</si>
  <si>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</si>
  <si>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</si>
  <si>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</si>
  <si>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</si>
  <si>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</si>
  <si>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</si>
  <si>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</si>
  <si>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</si>
  <si>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</si>
  <si>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</si>
  <si>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</si>
  <si>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</si>
  <si>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</si>
  <si>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</si>
  <si>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</si>
  <si>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</si>
  <si>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</si>
  <si>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</si>
  <si>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</si>
  <si>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</si>
  <si>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</si>
  <si>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</si>
  <si>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</si>
  <si>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</si>
  <si>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</si>
  <si>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</si>
  <si>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</si>
  <si>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</si>
  <si>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</si>
  <si>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</si>
  <si>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</si>
  <si>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</si>
  <si>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</si>
  <si>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</si>
  <si>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</si>
  <si>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</si>
  <si>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</si>
  <si>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</si>
  <si>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</si>
  <si>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</si>
  <si>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</si>
  <si>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</si>
  <si>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</si>
  <si>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</si>
  <si>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</si>
  <si>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</si>
  <si>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</si>
  <si>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</si>
  <si>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</si>
  <si>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</si>
  <si>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</si>
  <si>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</si>
  <si>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</si>
  <si>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</si>
  <si>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</si>
  <si>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</si>
  <si>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</si>
  <si>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</si>
  <si>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</si>
  <si>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</si>
  <si>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</si>
  <si>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</si>
  <si>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</si>
  <si>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</si>
  <si>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</si>
  <si>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</si>
  <si>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</si>
  <si>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</si>
  <si>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</si>
  <si>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</si>
  <si>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</si>
  <si>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</si>
  <si>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</si>
  <si>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</si>
  <si>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</si>
  <si>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</si>
  <si>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</si>
  <si>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</si>
  <si>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</si>
  <si>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</si>
  <si>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</si>
  <si>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</si>
  <si>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</si>
  <si>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</si>
  <si>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</si>
  <si>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</si>
  <si>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</si>
  <si>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</si>
  <si>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</si>
  <si>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</si>
  <si>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</si>
  <si>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</si>
  <si>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</si>
  <si>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</si>
  <si>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</si>
  <si>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</si>
  <si>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</si>
  <si>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</si>
  <si>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</si>
  <si>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</si>
  <si>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</si>
  <si>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</si>
  <si>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</si>
  <si>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</si>
  <si>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</si>
  <si>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</si>
  <si>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</si>
  <si>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</si>
  <si>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</si>
  <si>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</si>
  <si>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</si>
  <si>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</si>
  <si>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</si>
  <si>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</si>
  <si>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</si>
  <si>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</si>
  <si>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</si>
  <si>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</si>
  <si>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</si>
  <si>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</si>
  <si>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</si>
  <si>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</si>
  <si>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</si>
  <si>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</si>
  <si>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</si>
  <si>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</si>
  <si>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</si>
  <si>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</si>
  <si>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</si>
  <si>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</si>
  <si>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</si>
  <si>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</si>
  <si>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</si>
  <si>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</si>
  <si>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</si>
  <si>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</si>
  <si>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</si>
  <si>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</si>
  <si>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</si>
  <si>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</si>
  <si>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</si>
  <si>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</si>
  <si>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</si>
  <si>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</si>
  <si>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</si>
  <si>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</si>
  <si>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</si>
  <si>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</si>
  <si>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</si>
  <si>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</si>
  <si>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</si>
  <si>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</si>
  <si>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</si>
  <si>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</si>
  <si>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</si>
  <si>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</si>
  <si>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</si>
  <si>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</si>
  <si>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</si>
  <si>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</si>
  <si>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</si>
  <si>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</si>
  <si>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</si>
  <si>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</si>
  <si>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</si>
  <si>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</si>
  <si>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</si>
  <si>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</si>
  <si>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</si>
  <si>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</si>
  <si>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</si>
  <si>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</si>
  <si>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</si>
  <si>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</si>
  <si>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</si>
  <si>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</si>
  <si>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</si>
  <si>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</si>
  <si>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</si>
  <si>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</si>
  <si>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</si>
  <si>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</si>
  <si>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</si>
  <si>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</si>
  <si>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</si>
  <si>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</si>
  <si>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</si>
  <si>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</si>
  <si>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</si>
  <si>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</si>
  <si>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</si>
  <si>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</si>
  <si>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</si>
  <si>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</si>
  <si>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</si>
  <si>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</si>
  <si>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</si>
  <si>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</si>
  <si>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</si>
  <si>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</si>
  <si>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</si>
  <si>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</si>
  <si>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</si>
  <si>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</si>
  <si>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</si>
  <si>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</si>
  <si>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</si>
  <si>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</si>
  <si>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</si>
  <si>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</si>
  <si>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</si>
  <si>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</si>
  <si>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</si>
  <si>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</si>
  <si>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</si>
  <si>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</si>
  <si>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</si>
  <si>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</si>
  <si>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</si>
  <si>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</si>
  <si>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</si>
  <si>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</si>
  <si>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</si>
  <si>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</si>
  <si>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</si>
  <si>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</si>
  <si>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</si>
  <si>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</si>
  <si>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</si>
  <si>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</si>
  <si>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</si>
  <si>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</si>
  <si>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</si>
  <si>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</si>
  <si>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</si>
  <si>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</si>
  <si>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</si>
  <si>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</si>
  <si>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</si>
  <si>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</si>
  <si>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</si>
  <si>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</si>
  <si>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</si>
  <si>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</si>
  <si>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</si>
  <si>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</si>
  <si>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</si>
  <si>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</si>
  <si>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</si>
  <si>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</si>
  <si>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</si>
  <si>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</si>
  <si>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</si>
  <si>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</si>
  <si>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</si>
  <si>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</si>
  <si>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</si>
  <si>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</si>
  <si>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</si>
  <si>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</si>
  <si>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</si>
  <si>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</si>
  <si>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</si>
  <si>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</si>
  <si>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</si>
  <si>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</si>
  <si>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</si>
  <si>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</si>
  <si>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</si>
  <si>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</si>
  <si>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</si>
  <si>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</si>
  <si>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</si>
  <si>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</si>
  <si>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</si>
  <si>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</si>
  <si>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</si>
  <si>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</si>
  <si>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</si>
  <si>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</si>
  <si>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</si>
  <si>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</si>
  <si>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</si>
  <si>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</si>
  <si>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</si>
  <si>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</si>
  <si>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</si>
  <si>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</si>
  <si>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</si>
  <si>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</si>
  <si>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</si>
  <si>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</si>
  <si>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</si>
  <si>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</si>
  <si>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</si>
  <si>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</si>
  <si>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</si>
  <si>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</si>
  <si>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</si>
  <si>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</si>
  <si>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</si>
  <si>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</si>
  <si>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</si>
  <si>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</si>
  <si>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</si>
  <si>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</si>
  <si>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</si>
  <si>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</si>
  <si>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</si>
  <si>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</si>
  <si>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</si>
  <si>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</si>
  <si>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</si>
  <si>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</si>
  <si>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</si>
  <si>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</si>
  <si>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</si>
  <si>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</si>
  <si>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</si>
  <si>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</si>
  <si>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</si>
  <si>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</si>
  <si>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</si>
  <si>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</si>
  <si>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</si>
  <si>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</si>
  <si>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</si>
  <si>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</si>
  <si>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</si>
  <si>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</si>
  <si>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</si>
  <si>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</si>
  <si>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</si>
  <si>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</si>
  <si>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</si>
  <si>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</si>
  <si>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</si>
  <si>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</si>
  <si>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</si>
  <si>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</si>
  <si>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</si>
  <si>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</si>
  <si>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</si>
  <si>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</si>
  <si>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</si>
  <si>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</si>
  <si>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</si>
  <si>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</si>
  <si>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</si>
  <si>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</si>
  <si>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</si>
  <si>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</si>
  <si>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</si>
  <si>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</si>
  <si>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</si>
  <si>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</si>
  <si>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</si>
  <si>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</si>
  <si>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</si>
  <si>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</si>
  <si>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</si>
  <si>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</si>
  <si>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</si>
  <si>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</si>
  <si>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</si>
  <si>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</si>
  <si>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</si>
  <si>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</si>
  <si>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</si>
  <si>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</si>
  <si>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</si>
  <si>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</si>
  <si>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</si>
  <si>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</si>
  <si>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</si>
  <si>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</si>
  <si>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</si>
  <si>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</si>
  <si>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</si>
  <si>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</si>
  <si>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</si>
  <si>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</si>
  <si>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</si>
  <si>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</si>
  <si>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</si>
  <si>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</si>
  <si>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</si>
  <si>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</si>
  <si>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</si>
  <si>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</si>
  <si>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</si>
  <si>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</si>
  <si>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</si>
  <si>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</si>
  <si>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</si>
  <si>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</si>
  <si>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</si>
  <si>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</si>
  <si>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</si>
  <si>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</si>
  <si>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</si>
  <si>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</si>
  <si>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</si>
  <si>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</si>
  <si>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</si>
  <si>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</si>
  <si>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</si>
  <si>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</si>
  <si>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</si>
  <si>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</si>
  <si>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</si>
  <si>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</si>
  <si>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</si>
  <si>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</si>
  <si>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</si>
  <si>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</si>
  <si>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</si>
  <si>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</si>
  <si>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</si>
  <si>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</si>
  <si>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</si>
  <si>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</si>
  <si>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</si>
  <si>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</si>
  <si>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</si>
  <si>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</si>
  <si>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</si>
  <si>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</si>
  <si>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</si>
  <si>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</si>
  <si>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</si>
  <si>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</si>
  <si>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</si>
  <si>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</si>
  <si>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</si>
  <si>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</si>
  <si>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</si>
  <si>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</si>
  <si>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</si>
  <si>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</si>
  <si>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</si>
  <si>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</si>
  <si>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</si>
  <si>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</si>
  <si>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</si>
  <si>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</si>
  <si>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</si>
  <si>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</si>
  <si>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</si>
  <si>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</si>
  <si>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</si>
  <si>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</si>
  <si>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</si>
  <si>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</si>
  <si>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</si>
  <si>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</si>
  <si>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</si>
  <si>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</si>
  <si>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</si>
  <si>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</si>
  <si>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</si>
  <si>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</si>
  <si>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</si>
  <si>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</si>
  <si>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</si>
  <si>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</si>
  <si>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</si>
  <si>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</si>
  <si>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</si>
  <si>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</si>
  <si>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</si>
  <si>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</si>
  <si>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</si>
  <si>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</si>
  <si>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</si>
  <si>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</si>
  <si>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</si>
  <si>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</si>
  <si>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</si>
  <si>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</si>
  <si>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</si>
  <si>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</si>
  <si>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</si>
  <si>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</si>
  <si>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</si>
  <si>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</si>
  <si>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</si>
  <si>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</si>
  <si>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</si>
  <si>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</si>
  <si>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</si>
  <si>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</si>
  <si>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</si>
  <si>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</si>
  <si>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</si>
  <si>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</si>
  <si>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</si>
  <si>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</si>
  <si>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</si>
  <si>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</si>
  <si>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</si>
  <si>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</si>
  <si>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</si>
  <si>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</si>
  <si>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</si>
  <si>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</si>
  <si>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</si>
  <si>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</si>
  <si>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</si>
  <si>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</si>
  <si>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</si>
  <si>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</si>
  <si>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</si>
  <si>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</si>
  <si>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</si>
  <si>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</si>
  <si>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</si>
  <si>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</si>
  <si>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</si>
  <si>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</si>
  <si>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</si>
  <si>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</si>
  <si>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</si>
  <si>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</si>
  <si>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</si>
  <si>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</si>
  <si>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</si>
  <si>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</si>
  <si>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</si>
  <si>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</si>
  <si>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</si>
  <si>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</si>
  <si>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</si>
  <si>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</si>
  <si>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</si>
  <si>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</si>
  <si>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</si>
  <si>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</si>
  <si>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</si>
  <si>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</si>
  <si>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</si>
  <si>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</si>
  <si>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</si>
  <si>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</si>
  <si>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</si>
  <si>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</si>
  <si>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</si>
  <si>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</si>
  <si>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</si>
  <si>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</si>
  <si>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</si>
  <si>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</si>
  <si>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</si>
  <si>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</si>
  <si>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</si>
  <si>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</si>
  <si>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</si>
  <si>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</si>
  <si>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</si>
  <si>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</si>
  <si>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</si>
  <si>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</si>
  <si>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</si>
  <si>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</si>
  <si>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</si>
  <si>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</si>
  <si>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</si>
  <si>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</si>
  <si>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</si>
  <si>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</si>
  <si>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</si>
  <si>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</si>
  <si>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</si>
  <si>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</si>
  <si>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</si>
  <si>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</si>
  <si>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</si>
  <si>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</si>
  <si>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</si>
  <si>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</si>
  <si>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</si>
  <si>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</si>
  <si>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</si>
  <si>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</si>
  <si>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</si>
  <si>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</si>
  <si>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</si>
  <si>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</si>
  <si>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</si>
  <si>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</si>
  <si>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</si>
  <si>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</si>
  <si>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</si>
  <si>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</si>
  <si>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</si>
  <si>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</si>
  <si>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</si>
  <si>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</si>
  <si>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</si>
  <si>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</si>
  <si>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</si>
  <si>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</si>
  <si>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</si>
  <si>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</si>
  <si>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</si>
  <si>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</si>
  <si>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</si>
  <si>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</si>
  <si>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</si>
  <si>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</si>
  <si>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</si>
  <si>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</si>
  <si>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</si>
  <si>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</si>
  <si>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</si>
  <si>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</si>
  <si>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</si>
  <si>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</si>
  <si>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</si>
  <si>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</si>
  <si>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</si>
  <si>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</si>
  <si>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</si>
  <si>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</si>
  <si>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</si>
  <si>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</si>
  <si>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</si>
  <si>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</si>
  <si>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</si>
  <si>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</si>
  <si>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</si>
  <si>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</si>
  <si>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</si>
  <si>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</si>
  <si>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</si>
  <si>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</si>
  <si>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</si>
  <si>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</si>
  <si>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</si>
  <si>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</si>
  <si>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</si>
  <si>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</si>
  <si>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</si>
  <si>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</si>
  <si>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</si>
  <si>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</si>
  <si>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</si>
  <si>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</si>
  <si>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</si>
  <si>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</si>
  <si>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</si>
  <si>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</si>
  <si>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</si>
  <si>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</si>
  <si>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</si>
  <si>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</si>
  <si>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</si>
  <si>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</si>
  <si>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</si>
  <si>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</si>
  <si>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</si>
  <si>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</si>
  <si>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</si>
  <si>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</si>
  <si>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</si>
  <si>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</si>
  <si>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</si>
  <si>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</si>
  <si>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</si>
  <si>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</si>
  <si>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</si>
  <si>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</si>
  <si>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</si>
  <si>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</si>
  <si>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</si>
  <si>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</si>
  <si>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</si>
  <si>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</si>
  <si>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</si>
  <si>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</si>
  <si>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</si>
  <si>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</si>
  <si>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</si>
  <si>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</si>
  <si>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</si>
  <si>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</si>
  <si>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</si>
  <si>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</si>
  <si>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</si>
  <si>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</si>
  <si>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</si>
  <si>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</si>
  <si>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</si>
  <si>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</si>
  <si>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</si>
  <si>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</si>
  <si>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</si>
  <si>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</si>
  <si>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</si>
  <si>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</si>
  <si>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</si>
  <si>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</si>
  <si>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</si>
  <si>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</si>
  <si>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</si>
  <si>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</si>
  <si>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</si>
  <si>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</si>
  <si>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</si>
  <si>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</si>
  <si>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</si>
  <si>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</si>
  <si>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</si>
  <si>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</si>
  <si>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</si>
  <si>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</si>
  <si>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</si>
  <si>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</si>
  <si>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</si>
  <si>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</si>
  <si>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</si>
  <si>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</si>
  <si>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</si>
  <si>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</si>
  <si>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</si>
  <si>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</si>
  <si>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</si>
  <si>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</si>
  <si>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</si>
  <si>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</si>
  <si>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</si>
  <si>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</si>
  <si>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</si>
  <si>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</si>
  <si>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</si>
  <si>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</si>
  <si>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</si>
  <si>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</si>
  <si>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</si>
  <si>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</si>
  <si>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</si>
  <si>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</si>
  <si>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</si>
  <si>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</si>
  <si>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</si>
  <si>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</si>
  <si>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</si>
  <si>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</si>
  <si>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</si>
  <si>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</si>
  <si>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</si>
  <si>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</si>
  <si>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</si>
  <si>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</si>
  <si>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</si>
  <si>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</si>
  <si>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</si>
  <si>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</si>
  <si>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</si>
  <si>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</si>
  <si>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</si>
  <si>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</si>
  <si>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</si>
  <si>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</si>
  <si>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</si>
  <si>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</si>
  <si>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</si>
  <si>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</si>
  <si>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</si>
  <si>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</si>
  <si>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</si>
  <si>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</si>
  <si>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</si>
  <si>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</si>
  <si>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</si>
  <si>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</si>
  <si>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</si>
  <si>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</si>
  <si>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</si>
  <si>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</si>
  <si>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</si>
  <si>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</si>
  <si>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</si>
  <si>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</si>
  <si>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</si>
  <si>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</si>
  <si>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</si>
  <si>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</si>
  <si>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</si>
  <si>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</si>
  <si>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</si>
  <si>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</si>
  <si>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</si>
  <si>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</si>
  <si>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</si>
  <si>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</si>
  <si>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</si>
  <si>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</si>
  <si>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</si>
  <si>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</si>
  <si>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</si>
  <si>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</si>
  <si>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</si>
  <si>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</si>
  <si>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</si>
  <si>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</si>
  <si>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</si>
  <si>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</si>
  <si>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</si>
  <si>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</si>
  <si>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</si>
  <si>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</si>
  <si>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</si>
  <si>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</si>
  <si>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</si>
  <si>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</si>
  <si>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</si>
  <si>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</si>
  <si>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</si>
  <si>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</si>
  <si>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</si>
  <si>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</si>
  <si>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</si>
  <si>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</si>
  <si>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</si>
  <si>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</si>
  <si>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</si>
  <si>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</si>
  <si>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</si>
  <si>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</si>
  <si>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</si>
  <si>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</si>
  <si>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</si>
  <si>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</si>
  <si>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</si>
  <si>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</si>
  <si>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</si>
  <si>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</si>
  <si>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</si>
  <si>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</si>
  <si>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</si>
  <si>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</si>
  <si>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</si>
  <si>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</si>
  <si>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</si>
  <si>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</si>
  <si>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</si>
  <si>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</si>
  <si>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</si>
  <si>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</si>
  <si>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</si>
  <si>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</si>
  <si>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</si>
  <si>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</si>
  <si>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</si>
  <si>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</si>
  <si>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</si>
  <si>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</si>
  <si>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</si>
  <si>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</si>
  <si>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</si>
  <si>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</si>
  <si>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</si>
  <si>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</si>
  <si>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</si>
  <si>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</si>
  <si>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</si>
  <si>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</si>
  <si>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</si>
  <si>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</si>
  <si>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</si>
  <si>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</si>
  <si>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</si>
  <si>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</si>
  <si>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</si>
  <si>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</si>
  <si>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</si>
  <si>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</si>
  <si>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</si>
  <si>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</si>
  <si>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</si>
  <si>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</si>
  <si>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</si>
  <si>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</si>
  <si>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</si>
  <si>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</si>
  <si>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</si>
  <si>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</si>
  <si>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</si>
  <si>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</si>
  <si>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</si>
  <si>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</si>
  <si>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</si>
  <si>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</si>
  <si>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</si>
  <si>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</si>
  <si>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</si>
  <si>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</si>
  <si>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</si>
  <si>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</si>
  <si>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</si>
  <si>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</si>
  <si>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</si>
  <si>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</si>
  <si>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</si>
  <si>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</si>
  <si>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</si>
  <si>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</si>
  <si>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</si>
  <si>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</si>
  <si>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</si>
  <si>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</si>
  <si>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</si>
  <si>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</si>
  <si>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</si>
  <si>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</si>
  <si>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</si>
  <si>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</si>
  <si>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</si>
  <si>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</si>
  <si>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</si>
  <si>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</si>
  <si>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</si>
  <si>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</si>
  <si>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</si>
  <si>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</si>
  <si>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</si>
  <si>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</si>
  <si>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</si>
  <si>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</si>
  <si>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</si>
  <si>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</si>
  <si>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</si>
  <si>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</si>
  <si>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</si>
  <si>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</si>
  <si>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</si>
  <si>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</si>
  <si>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</si>
  <si>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</si>
  <si>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</si>
  <si>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</si>
  <si>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</si>
  <si>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</si>
  <si>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</si>
  <si>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</si>
  <si>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</si>
  <si>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</si>
  <si>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</si>
  <si>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</si>
  <si>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</si>
  <si>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</si>
  <si>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</si>
  <si>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</si>
  <si>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</si>
  <si>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</si>
  <si>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</si>
  <si>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</si>
  <si>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</si>
  <si>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</si>
  <si>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</si>
  <si>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</si>
  <si>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</si>
  <si>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</si>
  <si>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</si>
  <si>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</si>
  <si>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</si>
  <si>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</si>
  <si>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</si>
  <si>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</si>
  <si>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</si>
  <si>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</si>
  <si>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</si>
  <si>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</si>
  <si>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</si>
  <si>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</si>
  <si>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</si>
  <si>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</si>
  <si>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</si>
  <si>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</si>
  <si>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</si>
  <si>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</si>
  <si>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</si>
  <si>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</si>
  <si>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</si>
  <si>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</si>
  <si>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</si>
  <si>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</si>
  <si>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</si>
  <si>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</si>
  <si>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</si>
  <si>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</si>
  <si>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</si>
  <si>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</si>
  <si>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</si>
  <si>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</si>
  <si>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</si>
  <si>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</si>
  <si>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</si>
  <si>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</si>
  <si>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</si>
  <si>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</si>
  <si>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</si>
  <si>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</si>
  <si>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</si>
  <si>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</si>
  <si>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</si>
  <si>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</si>
  <si>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</si>
  <si>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</si>
  <si>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</si>
  <si>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</si>
  <si>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</si>
  <si>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</si>
  <si>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</si>
  <si>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</si>
  <si>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</si>
  <si>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</si>
  <si>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</si>
  <si>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</si>
  <si>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</si>
  <si>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</si>
  <si>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</si>
  <si>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</si>
  <si>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</si>
  <si>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</si>
  <si>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</si>
  <si>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</si>
  <si>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</si>
  <si>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</si>
  <si>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</si>
  <si>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</si>
  <si>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</si>
  <si>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</si>
  <si>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</si>
  <si>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</si>
  <si>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</si>
  <si>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</si>
  <si>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</si>
  <si>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</si>
  <si>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</si>
  <si>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</si>
  <si>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</si>
  <si>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</si>
  <si>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</si>
  <si>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</si>
  <si>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</si>
  <si>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</si>
  <si>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</si>
  <si>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</si>
  <si>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</si>
  <si>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</si>
  <si>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</si>
  <si>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</si>
  <si>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</si>
  <si>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</si>
  <si>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</si>
  <si>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</si>
  <si>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</si>
  <si>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</si>
  <si>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</si>
  <si>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</si>
  <si>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</si>
  <si>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</si>
  <si>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</si>
  <si>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</si>
  <si>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</si>
  <si>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</si>
  <si>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</si>
  <si>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</si>
  <si>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</si>
  <si>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</si>
  <si>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</si>
  <si>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</si>
  <si>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</si>
  <si>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</si>
  <si>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</si>
  <si>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</si>
  <si>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</si>
  <si>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</si>
  <si>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</si>
  <si>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</si>
  <si>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</si>
  <si>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</si>
  <si>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</si>
  <si>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</si>
  <si>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</si>
  <si>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</si>
  <si>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</si>
  <si>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</si>
  <si>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</si>
  <si>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</si>
  <si>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</si>
  <si>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</si>
  <si>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</si>
  <si>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</si>
  <si>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</si>
  <si>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</si>
  <si>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</si>
  <si>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</si>
  <si>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</si>
  <si>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</si>
  <si>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</si>
  <si>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</si>
  <si>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</si>
  <si>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</si>
  <si>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</si>
  <si>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</si>
  <si>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</si>
  <si>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</si>
  <si>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</si>
  <si>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</si>
  <si>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</si>
  <si>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</si>
  <si>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</si>
  <si>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</si>
  <si>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</si>
  <si>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</si>
  <si>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</si>
  <si>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</si>
  <si>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</si>
  <si>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</si>
  <si>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</si>
  <si>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</si>
  <si>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</si>
  <si>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</si>
  <si>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</si>
  <si>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</si>
  <si>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</si>
  <si>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</si>
  <si>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</si>
  <si>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</si>
  <si>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</si>
  <si>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</si>
  <si>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</si>
  <si>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</si>
  <si>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</si>
  <si>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</si>
  <si>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</si>
  <si>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</si>
  <si>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</si>
  <si>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</si>
  <si>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</si>
  <si>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</si>
  <si>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</si>
  <si>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</si>
  <si>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</si>
  <si>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</si>
  <si>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</si>
  <si>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</si>
  <si>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</si>
  <si>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</si>
  <si>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</si>
  <si>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</si>
  <si>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</si>
  <si>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</si>
  <si>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</si>
  <si>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</si>
  <si>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</si>
  <si>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</si>
  <si>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</si>
  <si>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</si>
  <si>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</si>
  <si>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</si>
  <si>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</si>
  <si>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</si>
  <si>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</si>
  <si>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</si>
  <si>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</si>
  <si>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</si>
  <si>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</si>
  <si>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</si>
  <si>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</si>
  <si>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</si>
  <si>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</si>
  <si>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</si>
  <si>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</si>
  <si>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</si>
  <si>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</si>
  <si>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</si>
  <si>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</si>
  <si>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</si>
  <si>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</si>
  <si>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</si>
  <si>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</si>
  <si>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</si>
  <si>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</si>
  <si>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</si>
  <si>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</si>
  <si>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</si>
  <si>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</si>
  <si>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</si>
  <si>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</si>
  <si>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</si>
  <si>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</si>
  <si>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</si>
  <si>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</si>
  <si>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</si>
  <si>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</si>
  <si>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</si>
  <si>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</si>
  <si>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</si>
  <si>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</si>
  <si>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</si>
  <si>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</si>
  <si>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</si>
  <si>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</si>
  <si>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</si>
  <si>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</si>
  <si>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</si>
  <si>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</si>
  <si>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</si>
  <si>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</si>
  <si>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</si>
  <si>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</si>
  <si>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</si>
  <si>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</si>
  <si>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</si>
  <si>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</si>
  <si>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</si>
  <si>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</si>
  <si>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</si>
  <si>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</si>
  <si>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</si>
  <si>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</si>
  <si>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</si>
  <si>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</si>
  <si>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</si>
  <si>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</si>
  <si>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</si>
  <si>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</si>
  <si>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</si>
  <si>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</si>
  <si>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</si>
  <si>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</si>
  <si>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</si>
  <si>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</si>
  <si>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</si>
  <si>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</si>
  <si>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</si>
  <si>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</si>
  <si>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</si>
  <si>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</si>
  <si>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</si>
  <si>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</si>
  <si>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</si>
  <si>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</si>
  <si>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</si>
  <si>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</si>
  <si>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</si>
  <si>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</si>
  <si>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</si>
  <si>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</si>
  <si>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</si>
  <si>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</si>
  <si>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</si>
  <si>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</si>
  <si>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</si>
  <si>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</si>
  <si>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</si>
  <si>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</si>
  <si>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</si>
  <si>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</si>
  <si>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</si>
  <si>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</si>
  <si>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</si>
  <si>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</si>
  <si>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</si>
  <si>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</si>
  <si>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</si>
  <si>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</si>
  <si>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</si>
  <si>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</si>
  <si>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</si>
  <si>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</si>
  <si>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</si>
  <si>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</si>
  <si>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</si>
  <si>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</si>
  <si>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</si>
  <si>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</si>
  <si>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</si>
  <si>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</si>
  <si>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</si>
  <si>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</si>
  <si>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</si>
  <si>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</si>
  <si>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</si>
  <si>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</si>
  <si>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</si>
  <si>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</si>
  <si>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</si>
  <si>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</si>
  <si>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</si>
  <si>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</si>
  <si>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</si>
  <si>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</si>
  <si>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</si>
  <si>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</si>
  <si>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</si>
  <si>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</si>
  <si>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</si>
  <si>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</si>
  <si>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</si>
  <si>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</si>
  <si>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</si>
  <si>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</si>
  <si>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</si>
  <si>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</si>
  <si>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</si>
  <si>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</si>
  <si>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</si>
  <si>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</si>
  <si>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</si>
  <si>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</si>
  <si>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</si>
  <si>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</si>
  <si>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</si>
  <si>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</si>
  <si>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</si>
  <si>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</si>
  <si>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</si>
  <si>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</si>
  <si>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</si>
  <si>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</si>
  <si>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</si>
  <si>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</si>
  <si>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</si>
  <si>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</si>
  <si>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</si>
  <si>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</si>
  <si>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</si>
  <si>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</si>
  <si>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</si>
  <si>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</si>
  <si>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</si>
  <si>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</si>
  <si>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</si>
  <si>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</si>
  <si>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</si>
  <si>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</si>
  <si>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</si>
  <si>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</si>
  <si>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</si>
  <si>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</si>
  <si>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</si>
  <si>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</si>
  <si>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</si>
  <si>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</si>
  <si>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</si>
  <si>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</si>
  <si>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</si>
  <si>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</si>
  <si>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</si>
  <si>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</si>
  <si>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</si>
  <si>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</si>
  <si>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</si>
  <si>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</si>
  <si>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</si>
  <si>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</si>
  <si>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</si>
  <si>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</si>
  <si>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</si>
  <si>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</si>
  <si>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</si>
  <si>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</si>
  <si>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</si>
  <si>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</si>
  <si>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</si>
  <si>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</si>
  <si>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</si>
  <si>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</si>
  <si>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</si>
  <si>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</si>
  <si>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</si>
  <si>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</si>
  <si>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</si>
  <si>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</si>
  <si>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</si>
  <si>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</si>
  <si>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</si>
  <si>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</si>
  <si>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</si>
  <si>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</si>
  <si>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</si>
  <si>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</si>
  <si>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</si>
  <si>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</si>
  <si>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</si>
  <si>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</si>
  <si>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</si>
  <si>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</si>
  <si>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</si>
  <si>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</si>
  <si>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</si>
  <si>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</si>
  <si>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</si>
  <si>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</si>
  <si>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</si>
  <si>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</si>
  <si>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</si>
  <si>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</si>
  <si>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</si>
  <si>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</si>
  <si>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</si>
  <si>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</si>
  <si>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</si>
  <si>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</si>
  <si>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</si>
  <si>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</si>
  <si>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</si>
  <si>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</si>
  <si>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</si>
  <si>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</si>
  <si>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</si>
  <si>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</si>
  <si>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</si>
  <si>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</si>
  <si>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</si>
  <si>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</si>
  <si>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</si>
  <si>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</si>
  <si>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</si>
  <si>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</si>
  <si>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</si>
  <si>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</si>
  <si>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</si>
  <si>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</si>
  <si>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</si>
  <si>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</si>
  <si>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</si>
  <si>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</si>
  <si>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</si>
  <si>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</si>
  <si>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</si>
  <si>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</si>
  <si>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</si>
  <si>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</si>
  <si>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</si>
  <si>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</si>
  <si>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</si>
  <si>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</si>
  <si>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</si>
  <si>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</si>
  <si>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</si>
  <si>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</si>
  <si>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</si>
  <si>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</si>
  <si>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</si>
  <si>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</si>
  <si>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</si>
  <si>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</si>
  <si>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</si>
  <si>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</si>
  <si>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</si>
  <si>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</si>
  <si>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</si>
  <si>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</si>
  <si>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</si>
  <si>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</si>
  <si>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</si>
  <si>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</si>
  <si>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</si>
  <si>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</si>
  <si>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</si>
  <si>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</si>
  <si>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</si>
  <si>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</si>
  <si>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</si>
  <si>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</si>
  <si>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</si>
  <si>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</si>
  <si>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</si>
  <si>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</si>
  <si>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</si>
  <si>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</si>
  <si>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</si>
  <si>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</si>
  <si>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</si>
  <si>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</si>
  <si>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</si>
  <si>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</si>
  <si>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</si>
  <si>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</si>
  <si>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</si>
  <si>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</si>
  <si>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</si>
  <si>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</si>
  <si>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</si>
  <si>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</si>
  <si>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</si>
  <si>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</si>
  <si>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</si>
  <si>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</si>
  <si>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</si>
  <si>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</si>
  <si>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</si>
  <si>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</si>
  <si>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</si>
  <si>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</si>
  <si>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</si>
  <si>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</si>
  <si>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</si>
  <si>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</si>
  <si>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</si>
  <si>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</si>
  <si>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</si>
  <si>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</si>
  <si>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</si>
  <si>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</si>
  <si>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</si>
  <si>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</si>
  <si>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</si>
  <si>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</si>
  <si>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</si>
  <si>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</si>
  <si>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</si>
  <si>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</si>
  <si>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</si>
  <si>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</si>
  <si>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</si>
  <si>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</si>
  <si>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</si>
  <si>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</si>
  <si>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</si>
  <si>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</si>
  <si>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</si>
  <si>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</si>
  <si>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</si>
  <si>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</si>
  <si>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</si>
  <si>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</si>
  <si>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</si>
  <si>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</si>
  <si>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</si>
  <si>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</si>
  <si>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</si>
  <si>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</si>
  <si>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</si>
  <si>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</si>
  <si>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</si>
  <si>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</si>
  <si>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</si>
  <si>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</si>
  <si>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</si>
  <si>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</si>
  <si>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</si>
  <si>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</si>
  <si>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</si>
  <si>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</si>
  <si>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</si>
  <si>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</si>
  <si>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</si>
  <si>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</si>
  <si>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</si>
  <si>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</si>
  <si>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</si>
  <si>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</si>
  <si>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</si>
  <si>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</si>
  <si>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</si>
  <si>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</si>
  <si>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</si>
  <si>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</si>
  <si>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</si>
  <si>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</si>
  <si>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</si>
  <si>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</si>
  <si>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</si>
  <si>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</si>
  <si>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</si>
  <si>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</si>
  <si>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</si>
  <si>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</si>
  <si>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</si>
  <si>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</si>
  <si>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</si>
  <si>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</si>
  <si>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</si>
  <si>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</si>
  <si>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</si>
  <si>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</si>
  <si>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</si>
  <si>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</si>
  <si>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</si>
  <si>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</si>
  <si>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</si>
  <si>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</si>
  <si>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</si>
  <si>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</si>
  <si>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</si>
  <si>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</si>
  <si>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</si>
  <si>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</si>
  <si>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</si>
  <si>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</si>
  <si>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</si>
  <si>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</si>
  <si>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</si>
  <si>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</si>
  <si>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</si>
  <si>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</si>
  <si>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</si>
  <si>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</si>
  <si>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</si>
  <si>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</si>
  <si>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</si>
  <si>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</si>
  <si>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</si>
  <si>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</si>
  <si>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</si>
  <si>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</si>
  <si>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</si>
  <si>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</si>
  <si>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</si>
  <si>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</si>
  <si>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</si>
  <si>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</si>
  <si>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</si>
  <si>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</si>
  <si>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</si>
  <si>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</si>
  <si>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</si>
  <si>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</si>
  <si>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</si>
  <si>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</si>
  <si>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</si>
  <si>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</si>
  <si>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</si>
  <si>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</si>
  <si>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</si>
  <si>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</si>
  <si>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</si>
  <si>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</si>
  <si>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</si>
  <si>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</si>
  <si>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</si>
  <si>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</si>
  <si>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</si>
  <si>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</si>
  <si>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</si>
  <si>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</si>
  <si>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</si>
  <si>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</si>
  <si>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</si>
  <si>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</si>
  <si>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</si>
  <si>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</si>
  <si>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</si>
  <si>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</si>
  <si>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</si>
  <si>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</si>
  <si>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</si>
  <si>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</si>
  <si>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</si>
  <si>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</si>
  <si>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</si>
  <si>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</si>
  <si>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</si>
  <si>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</si>
  <si>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</si>
  <si>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</si>
  <si>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</si>
  <si>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</si>
  <si>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</si>
  <si>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</si>
  <si>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</si>
  <si>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</si>
  <si>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</si>
  <si>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</si>
  <si>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</si>
  <si>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</si>
  <si>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</si>
  <si>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</si>
  <si>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</si>
  <si>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</si>
  <si>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</si>
  <si>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</si>
  <si>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</si>
  <si>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</si>
  <si>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</si>
  <si>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</si>
  <si>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</si>
  <si>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</si>
  <si>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</si>
  <si>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</si>
  <si>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</si>
  <si>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</si>
  <si>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</si>
  <si>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</si>
  <si>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</si>
  <si>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</si>
  <si>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</si>
  <si>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</si>
  <si>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</si>
  <si>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</si>
  <si>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</si>
  <si>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</si>
  <si>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</si>
  <si>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</si>
  <si>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</si>
  <si>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</si>
  <si>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</si>
  <si>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</si>
  <si>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</si>
  <si>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</si>
  <si>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</si>
  <si>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</si>
  <si>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</si>
  <si>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</si>
  <si>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</si>
  <si>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</si>
  <si>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</si>
  <si>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</si>
  <si>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</si>
  <si>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</si>
  <si>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</si>
  <si>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</si>
  <si>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</si>
  <si>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</si>
  <si>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</si>
  <si>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</si>
  <si>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</si>
  <si>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</si>
  <si>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</si>
  <si>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</si>
  <si>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</si>
  <si>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</si>
  <si>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</si>
  <si>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</si>
  <si>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</si>
  <si>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</si>
  <si>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</si>
  <si>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</si>
  <si>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</si>
  <si>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</si>
  <si>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</si>
  <si>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</si>
  <si>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</si>
  <si>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</si>
  <si>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</si>
  <si>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</si>
  <si>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</si>
  <si>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</si>
  <si>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</si>
  <si>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</si>
  <si>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</si>
  <si>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</si>
  <si>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</si>
  <si>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</si>
  <si>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</si>
  <si>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</si>
  <si>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</si>
  <si>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</si>
  <si>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</si>
  <si>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</si>
  <si>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</si>
  <si>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</si>
  <si>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</si>
  <si>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</si>
  <si>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</si>
  <si>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</si>
  <si>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</si>
  <si>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</si>
  <si>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</si>
  <si>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</si>
  <si>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</si>
  <si>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</si>
  <si>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</si>
  <si>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</si>
  <si>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</si>
  <si>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</si>
  <si>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</si>
  <si>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</si>
  <si>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</si>
  <si>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</si>
  <si>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</si>
  <si>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</si>
  <si>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</si>
  <si>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</si>
  <si>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</si>
  <si>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</si>
  <si>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</si>
  <si>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</si>
  <si>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</si>
  <si>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</si>
  <si>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</si>
  <si>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</si>
  <si>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</si>
  <si>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</si>
  <si>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</si>
  <si>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</si>
  <si>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</si>
  <si>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</si>
  <si>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</si>
  <si>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</si>
  <si>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</si>
  <si>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</si>
  <si>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</si>
  <si>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</si>
  <si>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</si>
  <si>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</si>
  <si>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</si>
  <si>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</si>
  <si>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</si>
  <si>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</si>
  <si>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</si>
  <si>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</si>
  <si>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</si>
  <si>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</si>
  <si>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</si>
  <si>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</si>
  <si>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</si>
  <si>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</si>
  <si>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</si>
  <si>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</si>
  <si>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</si>
  <si>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</si>
  <si>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</si>
  <si>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</si>
  <si>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</si>
  <si>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</si>
  <si>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</si>
  <si>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</si>
  <si>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</si>
  <si>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</si>
  <si>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</si>
  <si>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</si>
  <si>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</si>
  <si>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</si>
  <si>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</si>
  <si>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</si>
  <si>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</si>
  <si>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</si>
  <si>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</si>
  <si>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</si>
  <si>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</si>
  <si>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</si>
  <si>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</si>
  <si>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</si>
  <si>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</si>
  <si>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</si>
  <si>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</si>
  <si>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</si>
  <si>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</si>
  <si>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</si>
  <si>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</si>
  <si>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</si>
  <si>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</si>
  <si>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</si>
  <si>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</si>
  <si>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</si>
  <si>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</si>
  <si>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</si>
  <si>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</si>
  <si>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</si>
  <si>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</si>
  <si>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</si>
  <si>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</si>
  <si>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</si>
  <si>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</si>
  <si>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</si>
  <si>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</si>
  <si>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</si>
  <si>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</si>
  <si>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</si>
  <si>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</si>
  <si>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</si>
  <si>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</si>
  <si>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</si>
  <si>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</si>
  <si>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</si>
  <si>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</si>
  <si>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</si>
  <si>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</si>
  <si>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</si>
  <si>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</si>
  <si>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</si>
  <si>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</si>
  <si>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</si>
  <si>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</si>
  <si>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</si>
  <si>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</si>
  <si>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</si>
  <si>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</si>
  <si>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</si>
  <si>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</si>
  <si>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</si>
  <si>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</si>
  <si>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</si>
  <si>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</si>
  <si>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</si>
  <si>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</si>
  <si>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</si>
  <si>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</si>
  <si>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</si>
  <si>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</si>
  <si>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</si>
  <si>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</si>
  <si>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</si>
  <si>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</si>
  <si>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</si>
  <si>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</si>
  <si>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</si>
  <si>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</si>
  <si>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</si>
  <si>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</si>
  <si>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</si>
  <si>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</si>
  <si>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</si>
  <si>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</si>
  <si>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</si>
  <si>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</si>
  <si>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</si>
  <si>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</si>
  <si>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</si>
  <si>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</si>
  <si>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</si>
  <si>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</si>
  <si>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</si>
  <si>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</si>
  <si>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</si>
  <si>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</si>
  <si>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</si>
  <si>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</si>
  <si>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</si>
  <si>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</si>
  <si>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</si>
  <si>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</si>
  <si>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</si>
  <si>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</si>
  <si>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</si>
  <si>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</si>
  <si>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</si>
  <si>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</si>
  <si>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</si>
  <si>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</si>
  <si>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</si>
  <si>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</si>
  <si>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</si>
  <si>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</si>
  <si>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</si>
  <si>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</si>
  <si>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</si>
  <si>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</si>
  <si>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</si>
  <si>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</si>
  <si>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</si>
  <si>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</si>
  <si>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</si>
  <si>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</si>
  <si>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</si>
  <si>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</si>
  <si>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</si>
  <si>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</si>
  <si>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</si>
  <si>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</si>
  <si>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</si>
  <si>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</si>
  <si>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</si>
  <si>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</si>
  <si>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</si>
  <si>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</si>
  <si>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</si>
  <si>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</si>
  <si>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</si>
  <si>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</si>
  <si>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</si>
  <si>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</si>
  <si>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</si>
  <si>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</si>
  <si>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</si>
  <si>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</si>
  <si>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</si>
  <si>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</si>
  <si>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</si>
  <si>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</si>
  <si>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</si>
  <si>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</si>
  <si>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</si>
  <si>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</si>
  <si>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</si>
  <si>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</si>
  <si>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</si>
  <si>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</si>
  <si>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</si>
  <si>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</si>
  <si>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</si>
  <si>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</si>
  <si>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</si>
  <si>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</si>
  <si>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</si>
  <si>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</si>
  <si>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</si>
  <si>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</si>
  <si>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</si>
  <si>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</si>
  <si>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</si>
  <si>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</si>
  <si>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</si>
  <si>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</si>
  <si>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</si>
  <si>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</si>
  <si>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</si>
  <si>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</si>
  <si>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</si>
  <si>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</si>
  <si>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</si>
  <si>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</si>
  <si>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</si>
  <si>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</si>
  <si>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</si>
  <si>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</si>
  <si>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</si>
  <si>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</si>
  <si>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</si>
  <si>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</si>
  <si>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</si>
  <si>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</si>
  <si>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</si>
  <si>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</si>
  <si>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</si>
  <si>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</si>
  <si>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</si>
  <si>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</si>
  <si>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</si>
  <si>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</si>
  <si>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</si>
  <si>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</si>
  <si>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</si>
  <si>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</si>
  <si>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</si>
  <si>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</si>
  <si>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</si>
  <si>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</si>
  <si>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</si>
  <si>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</si>
  <si>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</si>
  <si>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</si>
  <si>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</si>
  <si>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</si>
  <si>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</si>
  <si>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</si>
  <si>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</si>
  <si>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</si>
  <si>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</si>
  <si>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</si>
  <si>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</si>
  <si>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</si>
  <si>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</si>
  <si>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</si>
  <si>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</si>
  <si>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</si>
  <si>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</si>
  <si>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</si>
  <si>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</si>
  <si>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</si>
  <si>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</si>
  <si>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</si>
  <si>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</si>
  <si>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</si>
  <si>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</si>
  <si>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</si>
  <si>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</si>
  <si>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</si>
  <si>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</si>
  <si>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</si>
  <si>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</si>
  <si>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</si>
  <si>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</si>
  <si>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</si>
  <si>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</si>
  <si>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</si>
  <si>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</si>
  <si>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</si>
  <si>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</si>
  <si>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</si>
  <si>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</si>
  <si>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</si>
  <si>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</si>
  <si>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</si>
  <si>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</si>
  <si>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</si>
  <si>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</si>
  <si>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</si>
  <si>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</si>
  <si>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</si>
  <si>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</si>
  <si>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</si>
  <si>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</si>
  <si>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</si>
  <si>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</si>
  <si>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</si>
  <si>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</si>
  <si>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</si>
  <si>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</si>
  <si>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</si>
  <si>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</si>
  <si>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</si>
  <si>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</si>
  <si>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</si>
  <si>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</si>
  <si>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</si>
  <si>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</si>
  <si>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</si>
  <si>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</si>
  <si>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</si>
  <si>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</si>
  <si>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</si>
  <si>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</si>
  <si>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</si>
  <si>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</si>
  <si>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</si>
  <si>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</si>
  <si>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</si>
  <si>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</si>
  <si>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</si>
  <si>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</si>
  <si>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</si>
  <si>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</si>
  <si>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</si>
  <si>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</si>
  <si>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</si>
  <si>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</si>
  <si>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</si>
  <si>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</si>
  <si>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</si>
  <si>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</si>
  <si>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</si>
  <si>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</si>
  <si>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</si>
  <si>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</si>
  <si>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</si>
  <si>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</si>
  <si>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</si>
  <si>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</si>
  <si>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</si>
  <si>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</si>
  <si>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</si>
  <si>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</si>
  <si>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</si>
  <si>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</si>
  <si>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</si>
  <si>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</si>
  <si>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</si>
  <si>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</si>
  <si>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</si>
  <si>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</si>
  <si>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</si>
  <si>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</si>
  <si>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</si>
  <si>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</si>
  <si>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</si>
  <si>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</si>
  <si>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</si>
  <si>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</si>
  <si>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</si>
  <si>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</si>
  <si>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</si>
  <si>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</si>
  <si>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</si>
  <si>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</si>
  <si>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</si>
  <si>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</si>
  <si>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</si>
  <si>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</si>
  <si>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</si>
  <si>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</si>
  <si>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</si>
  <si>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</si>
  <si>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</si>
  <si>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</si>
  <si>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</si>
  <si>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</si>
  <si>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</si>
  <si>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</si>
  <si>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</si>
  <si>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</si>
  <si>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</si>
  <si>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</si>
  <si>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</si>
  <si>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</si>
  <si>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</si>
  <si>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</si>
  <si>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</si>
  <si>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</si>
  <si>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</si>
  <si>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</si>
  <si>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</si>
  <si>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</si>
  <si>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</si>
  <si>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</si>
  <si>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</si>
  <si>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</si>
  <si>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</si>
  <si>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</si>
  <si>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</si>
  <si>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</si>
  <si>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</si>
  <si>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</si>
  <si>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</si>
  <si>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</si>
  <si>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</si>
  <si>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</si>
  <si>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</si>
  <si>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</si>
  <si>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</si>
  <si>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</si>
  <si>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</si>
  <si>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</si>
  <si>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</si>
  <si>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</si>
  <si>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</si>
  <si>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</si>
  <si>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</si>
  <si>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</si>
  <si>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</si>
  <si>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</si>
  <si>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</si>
  <si>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</si>
  <si>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</si>
  <si>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</si>
  <si>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</si>
  <si>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</si>
  <si>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</si>
  <si>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</si>
  <si>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</si>
  <si>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</si>
  <si>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</si>
  <si>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</si>
  <si>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</si>
  <si>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</si>
  <si>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</si>
  <si>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</si>
  <si>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</si>
  <si>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</si>
  <si>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</si>
  <si>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</si>
  <si>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</si>
  <si>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</si>
  <si>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</si>
  <si>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</si>
  <si>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</si>
  <si>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</si>
  <si>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</si>
  <si>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</si>
  <si>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</si>
  <si>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</si>
  <si>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</si>
  <si>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</si>
  <si>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</si>
  <si>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</si>
  <si>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</si>
  <si>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</si>
  <si>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</si>
  <si>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</si>
  <si>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</si>
  <si>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</si>
  <si>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</si>
  <si>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</si>
  <si>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</si>
  <si>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</si>
  <si>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</si>
  <si>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</si>
  <si>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</si>
  <si>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</si>
  <si>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</si>
  <si>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</si>
  <si>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</si>
  <si>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</si>
  <si>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</si>
  <si>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</si>
  <si>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</si>
  <si>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</si>
  <si>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</si>
  <si>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</si>
  <si>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</si>
  <si>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</si>
  <si>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</si>
  <si>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</si>
  <si>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</si>
  <si>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</si>
  <si>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</si>
  <si>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</si>
  <si>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</si>
  <si>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</si>
  <si>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</si>
  <si>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</si>
  <si>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</si>
  <si>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</si>
  <si>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</si>
  <si>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</si>
  <si>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</si>
  <si>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</si>
  <si>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</si>
  <si>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</si>
  <si>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</si>
  <si>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</si>
  <si>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</si>
  <si>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</si>
  <si>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</si>
  <si>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</si>
  <si>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</si>
  <si>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</si>
  <si>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</si>
  <si>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</si>
  <si>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</si>
  <si>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</si>
  <si>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</si>
  <si>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</si>
  <si>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</si>
  <si>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</si>
  <si>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</si>
  <si>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</si>
  <si>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</si>
  <si>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</si>
  <si>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</si>
  <si>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</si>
  <si>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</si>
  <si>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</si>
  <si>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</si>
  <si>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</si>
  <si>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</si>
  <si>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</si>
  <si>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</si>
  <si>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</si>
  <si>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</si>
  <si>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</si>
  <si>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</si>
  <si>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</si>
  <si>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</si>
  <si>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</si>
  <si>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</si>
  <si>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</si>
  <si>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</si>
  <si>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</si>
  <si>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</si>
  <si>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</si>
  <si>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</si>
  <si>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</si>
  <si>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</si>
  <si>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</si>
  <si>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</si>
  <si>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</si>
  <si>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</si>
  <si>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</si>
  <si>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</si>
  <si>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</si>
  <si>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</si>
  <si>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</si>
  <si>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</si>
  <si>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</si>
  <si>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</si>
  <si>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</si>
  <si>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</si>
  <si>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</si>
  <si>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</si>
  <si>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</si>
  <si>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</si>
  <si>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</si>
  <si>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</si>
  <si>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</si>
  <si>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</si>
  <si>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</si>
  <si>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</si>
  <si>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</si>
  <si>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</si>
  <si>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</si>
  <si>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</si>
  <si>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</si>
  <si>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</si>
  <si>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</si>
  <si>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</si>
  <si>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</si>
  <si>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</si>
  <si>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</si>
  <si>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</si>
  <si>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</si>
  <si>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</si>
  <si>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</si>
  <si>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</si>
  <si>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</si>
  <si>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</si>
  <si>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</si>
  <si>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</si>
  <si>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</si>
  <si>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</si>
  <si>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</si>
  <si>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</si>
  <si>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</si>
  <si>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</si>
  <si>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</si>
  <si>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</si>
  <si>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</si>
  <si>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</si>
  <si>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</si>
  <si>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</si>
  <si>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</si>
  <si>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</si>
  <si>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</si>
  <si>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</si>
  <si>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</si>
  <si>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</si>
  <si>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</si>
  <si>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</si>
  <si>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</si>
  <si>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</si>
  <si>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</si>
  <si>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</si>
  <si>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</si>
  <si>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</si>
  <si>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</si>
  <si>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</si>
  <si>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</si>
  <si>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</si>
  <si>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</si>
  <si>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</si>
  <si>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</si>
  <si>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</si>
  <si>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</si>
  <si>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</si>
  <si>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</si>
  <si>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</si>
  <si>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</si>
  <si>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</si>
  <si>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</si>
  <si>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</si>
  <si>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</si>
  <si>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</si>
  <si>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</si>
  <si>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</si>
  <si>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</si>
  <si>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</si>
  <si>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</si>
  <si>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</si>
  <si>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</si>
  <si>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</si>
  <si>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</si>
  <si>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</si>
  <si>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</si>
  <si>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</si>
  <si>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</si>
  <si>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</si>
  <si>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</si>
  <si>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</si>
  <si>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</si>
  <si>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</si>
  <si>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</si>
  <si>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</si>
  <si>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</si>
  <si>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</si>
  <si>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</si>
  <si>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</si>
  <si>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</si>
  <si>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</si>
  <si>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</si>
  <si>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</si>
  <si>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</si>
  <si>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</si>
  <si>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</si>
  <si>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</si>
  <si>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</si>
  <si>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</si>
  <si>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</si>
  <si>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</si>
  <si>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</si>
  <si>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</si>
  <si>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</si>
  <si>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</si>
  <si>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</si>
  <si>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</si>
  <si>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</si>
  <si>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</si>
  <si>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</si>
  <si>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</si>
  <si>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</si>
  <si>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</si>
  <si>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</si>
  <si>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</si>
  <si>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</si>
  <si>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</si>
  <si>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</si>
  <si>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</si>
  <si>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</si>
  <si>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</si>
  <si>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</si>
  <si>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</si>
  <si>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</si>
  <si>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</si>
  <si>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</si>
  <si>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</si>
  <si>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</si>
  <si>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</si>
  <si>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</si>
  <si>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</si>
  <si>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</si>
  <si>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</si>
  <si>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</si>
  <si>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</si>
  <si>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</si>
  <si>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</si>
  <si>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</si>
  <si>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</si>
  <si>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</si>
  <si>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</si>
  <si>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</si>
  <si>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</si>
  <si>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</si>
  <si>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</si>
  <si>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</si>
  <si>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</si>
  <si>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</si>
  <si>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</si>
  <si>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</si>
  <si>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</si>
  <si>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</si>
  <si>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</si>
  <si>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</si>
  <si>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</si>
  <si>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</si>
  <si>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</si>
  <si>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</si>
  <si>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</si>
  <si>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</si>
  <si>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</si>
  <si>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</si>
  <si>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</si>
  <si>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</si>
  <si>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</si>
  <si>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</si>
  <si>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</si>
  <si>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</si>
  <si>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</si>
  <si>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</si>
  <si>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</si>
  <si>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</si>
  <si>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</si>
  <si>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</si>
  <si>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</si>
  <si>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</si>
  <si>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</si>
  <si>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</si>
  <si>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</si>
  <si>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</si>
  <si>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</si>
  <si>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</si>
  <si>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</si>
  <si>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</si>
  <si>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</si>
  <si>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</si>
  <si>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</si>
  <si>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</si>
  <si>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</si>
  <si>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</si>
  <si>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</si>
  <si>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</si>
  <si>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</si>
  <si>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</si>
  <si>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</si>
  <si>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</si>
  <si>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</si>
  <si>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</si>
  <si>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</si>
  <si>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</si>
  <si>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</si>
  <si>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</si>
  <si>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</si>
  <si>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</si>
  <si>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</si>
  <si>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</si>
  <si>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</si>
  <si>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</si>
  <si>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</si>
  <si>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</si>
  <si>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</si>
  <si>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</si>
  <si>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</si>
  <si>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</si>
  <si>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</si>
  <si>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</si>
  <si>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</si>
  <si>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</si>
  <si>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</si>
  <si>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</si>
  <si>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</si>
  <si>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</si>
  <si>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</si>
  <si>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</si>
  <si>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</si>
  <si>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</si>
  <si>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</si>
  <si>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</si>
  <si>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</si>
  <si>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</si>
  <si>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</si>
  <si>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</si>
  <si>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</si>
  <si>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</si>
  <si>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</si>
  <si>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</si>
  <si>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</si>
  <si>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</si>
  <si>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</si>
  <si>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</si>
  <si>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</si>
  <si>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</si>
  <si>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</si>
  <si>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</si>
  <si>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</si>
  <si>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</si>
  <si>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</si>
  <si>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</si>
  <si>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</si>
  <si>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</si>
  <si>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</si>
  <si>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</si>
  <si>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</si>
  <si>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</si>
  <si>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</si>
  <si>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</si>
  <si>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</si>
  <si>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</si>
  <si>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</si>
  <si>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</si>
  <si>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</si>
  <si>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</si>
  <si>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</si>
  <si>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</si>
  <si>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</si>
  <si>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</si>
  <si>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</si>
  <si>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</si>
  <si>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</si>
  <si>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</si>
  <si>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</si>
  <si>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</si>
  <si>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</si>
  <si>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</si>
  <si>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</si>
  <si>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</si>
  <si>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</si>
  <si>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</si>
  <si>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</si>
  <si>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</si>
  <si>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</si>
  <si>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</si>
  <si>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</si>
  <si>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</si>
  <si>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</si>
  <si>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</si>
  <si>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</si>
  <si>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</si>
  <si>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</si>
  <si>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</si>
  <si>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</si>
  <si>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</si>
  <si>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</si>
  <si>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</si>
  <si>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</si>
  <si>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</si>
  <si>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</si>
  <si>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</si>
  <si>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</si>
  <si>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</si>
  <si>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</si>
  <si>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</si>
  <si>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</si>
  <si>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</si>
  <si>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</si>
  <si>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</si>
  <si>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</si>
  <si>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</si>
  <si>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</si>
  <si>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</si>
  <si>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</si>
  <si>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</si>
  <si>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</si>
  <si>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</si>
  <si>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</si>
  <si>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</si>
  <si>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</si>
  <si>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</si>
  <si>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</si>
  <si>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</si>
  <si>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</si>
  <si>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</si>
  <si>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</si>
  <si>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</si>
  <si>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</si>
  <si>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</si>
  <si>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</si>
  <si>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</si>
  <si>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</si>
  <si>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</si>
  <si>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</si>
  <si>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</si>
  <si>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</si>
  <si>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</si>
  <si>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</si>
  <si>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</si>
  <si>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</si>
  <si>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</si>
  <si>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</si>
  <si>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</si>
  <si>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</si>
  <si>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</si>
  <si>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</si>
  <si>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</si>
  <si>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</si>
  <si>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</si>
  <si>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</si>
  <si>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</si>
  <si>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</si>
  <si>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</si>
  <si>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</si>
  <si>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</si>
  <si>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</si>
  <si>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</si>
  <si>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</si>
  <si>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</si>
  <si>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</si>
  <si>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</si>
  <si>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</si>
  <si>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</si>
  <si>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</si>
  <si>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</si>
  <si>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</si>
  <si>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</si>
  <si>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</si>
  <si>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</si>
  <si>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</si>
  <si>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</si>
  <si>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</si>
  <si>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</si>
  <si>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</si>
  <si>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</si>
  <si>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</si>
  <si>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</si>
  <si>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</si>
  <si>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</si>
  <si>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</si>
  <si>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</si>
  <si>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</si>
  <si>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</si>
  <si>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</si>
  <si>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</si>
  <si>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</si>
  <si>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</si>
  <si>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</si>
  <si>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</si>
  <si>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</si>
  <si>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</si>
  <si>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</si>
  <si>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</si>
  <si>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</si>
  <si>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</si>
  <si>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</si>
  <si>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</si>
  <si>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</si>
  <si>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</si>
  <si>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</si>
  <si>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</si>
  <si>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</si>
  <si>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</si>
  <si>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</si>
  <si>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</si>
  <si>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</si>
  <si>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</si>
  <si>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</si>
  <si>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</si>
  <si>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</si>
  <si>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</si>
  <si>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</si>
  <si>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</si>
  <si>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</si>
  <si>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</si>
  <si>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</si>
  <si>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</si>
  <si>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</si>
  <si>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</si>
  <si>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</si>
  <si>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</si>
  <si>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</si>
  <si>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</si>
  <si>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</si>
  <si>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</si>
  <si>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</si>
  <si>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</si>
  <si>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</si>
  <si>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</si>
  <si>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</si>
  <si>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</si>
  <si>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</si>
  <si>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</si>
  <si>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</si>
  <si>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</si>
  <si>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</si>
  <si>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</si>
  <si>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</si>
  <si>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</si>
  <si>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</si>
  <si>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</si>
  <si>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</si>
  <si>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</si>
  <si>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</si>
  <si>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</si>
  <si>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</si>
  <si>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</si>
  <si>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</si>
  <si>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</si>
  <si>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</si>
  <si>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</si>
  <si>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</si>
  <si>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</si>
  <si>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</si>
  <si>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</si>
  <si>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</si>
  <si>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</si>
  <si>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</si>
  <si>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</si>
  <si>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</si>
  <si>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</si>
  <si>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</si>
  <si>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</si>
  <si>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</si>
  <si>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</si>
  <si>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</si>
  <si>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</si>
  <si>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</si>
  <si>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</si>
  <si>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</si>
  <si>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</si>
  <si>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</si>
  <si>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</si>
  <si>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</si>
  <si>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</si>
  <si>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</si>
  <si>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</si>
  <si>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</si>
  <si>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</si>
  <si>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</si>
  <si>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</si>
  <si>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</si>
  <si>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</si>
  <si>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</si>
  <si>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</si>
  <si>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</si>
  <si>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</si>
  <si>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</si>
  <si>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</si>
  <si>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</si>
  <si>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</si>
  <si>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</si>
  <si>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</si>
  <si>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</si>
  <si>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</si>
  <si>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</si>
  <si>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</si>
  <si>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</si>
  <si>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</si>
  <si>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</si>
  <si>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</si>
  <si>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</si>
  <si>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</si>
  <si>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</si>
  <si>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</si>
  <si>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</si>
  <si>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</si>
  <si>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</si>
  <si>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</si>
  <si>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</si>
  <si>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</si>
  <si>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</si>
  <si>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</si>
  <si>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</si>
  <si>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</si>
  <si>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</si>
  <si>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</si>
  <si>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</si>
  <si>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</si>
  <si>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</si>
  <si>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</si>
  <si>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</si>
  <si>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</si>
  <si>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</si>
  <si>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</si>
  <si>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</si>
  <si>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</si>
  <si>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</si>
  <si>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</si>
  <si>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</si>
  <si>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</si>
  <si>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</si>
  <si>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</si>
  <si>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</si>
  <si>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</si>
  <si>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</si>
  <si>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</si>
  <si>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</si>
  <si>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</si>
  <si>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</si>
  <si>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</si>
  <si>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</si>
  <si>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</si>
  <si>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</si>
  <si>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</si>
  <si>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</si>
  <si>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</si>
  <si>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</si>
  <si>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</si>
  <si>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</si>
  <si>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</si>
  <si>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</si>
  <si>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</si>
  <si>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</si>
  <si>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</si>
  <si>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</si>
  <si>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</si>
  <si>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</si>
  <si>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</si>
  <si>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</si>
  <si>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</si>
  <si>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</si>
  <si>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</si>
  <si>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</si>
  <si>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</si>
  <si>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</si>
  <si>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</si>
  <si>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</si>
  <si>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</si>
  <si>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</si>
  <si>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</si>
  <si>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</si>
  <si>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</si>
  <si>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</si>
  <si>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</si>
  <si>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</si>
  <si>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</si>
  <si>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</si>
  <si>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</si>
  <si>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</si>
  <si>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</si>
  <si>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</si>
  <si>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</si>
  <si>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</si>
  <si>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</si>
  <si>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</si>
  <si>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</si>
  <si>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</si>
  <si>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</si>
  <si>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</si>
  <si>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</si>
  <si>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</si>
  <si>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</si>
  <si>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</si>
  <si>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</si>
  <si>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</si>
  <si>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</si>
  <si>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</si>
  <si>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</si>
  <si>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</si>
  <si>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</si>
  <si>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</si>
  <si>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</si>
  <si>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</si>
  <si>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</si>
  <si>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</si>
  <si>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</si>
  <si>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</si>
  <si>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</si>
  <si>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</si>
  <si>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</si>
  <si>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</si>
  <si>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</si>
  <si>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</si>
  <si>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</si>
  <si>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</si>
  <si>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</si>
  <si>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</si>
  <si>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</si>
  <si>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</si>
  <si>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</si>
  <si>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</si>
  <si>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</si>
  <si>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</si>
  <si>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</si>
  <si>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</si>
  <si>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</si>
  <si>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</si>
  <si>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</si>
  <si>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</si>
  <si>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</si>
  <si>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</si>
  <si>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</si>
  <si>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</si>
  <si>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</si>
  <si>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</si>
  <si>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</si>
  <si>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</si>
  <si>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</si>
  <si>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</si>
  <si>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</si>
  <si>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</si>
  <si>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</si>
  <si>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</si>
  <si>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</si>
  <si>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</si>
  <si>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</si>
  <si>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</si>
  <si>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</si>
  <si>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</si>
  <si>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</si>
  <si>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</si>
  <si>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</si>
  <si>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</si>
  <si>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</si>
  <si>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</si>
  <si>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</si>
  <si>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</si>
  <si>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</si>
  <si>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</si>
  <si>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</si>
  <si>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</si>
  <si>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</si>
  <si>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</si>
  <si>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</si>
  <si>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</si>
  <si>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</si>
  <si>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</si>
  <si>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</si>
  <si>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</si>
  <si>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</si>
  <si>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</si>
  <si>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</si>
  <si>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</si>
  <si>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</si>
  <si>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</si>
  <si>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</si>
  <si>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</si>
  <si>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</si>
  <si>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</si>
  <si>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</si>
  <si>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</si>
  <si>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</si>
  <si>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</si>
  <si>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</si>
  <si>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</si>
  <si>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</si>
  <si>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</si>
  <si>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</si>
  <si>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</si>
  <si>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</si>
  <si>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</si>
  <si>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</si>
  <si>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</si>
  <si>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</si>
  <si>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</si>
  <si>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</si>
  <si>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</si>
  <si>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</si>
  <si>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</si>
  <si>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</si>
  <si>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</si>
  <si>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</si>
  <si>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</si>
  <si>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</si>
  <si>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</si>
  <si>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</si>
  <si>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</si>
  <si>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</si>
  <si>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</si>
  <si>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</si>
  <si>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</si>
  <si>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</si>
  <si>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</si>
  <si>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</si>
  <si>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</si>
  <si>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</si>
  <si>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</si>
  <si>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</si>
  <si>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</si>
  <si>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</si>
  <si>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</si>
  <si>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</si>
  <si>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</si>
  <si>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</si>
  <si>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</si>
  <si>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</si>
  <si>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</si>
  <si>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</si>
  <si>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</si>
  <si>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</si>
  <si>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</si>
  <si>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</si>
  <si>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</si>
  <si>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</si>
  <si>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</si>
  <si>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</si>
  <si>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</si>
  <si>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</si>
  <si>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</si>
  <si>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</si>
  <si>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</si>
  <si>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</si>
  <si>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</si>
  <si>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</si>
  <si>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</si>
  <si>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</si>
  <si>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</si>
  <si>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</si>
  <si>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</si>
  <si>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</si>
  <si>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</si>
  <si>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</si>
  <si>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</si>
  <si>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</si>
  <si>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</si>
  <si>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</si>
  <si>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</si>
  <si>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</si>
  <si>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</si>
  <si>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</si>
  <si>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</si>
  <si>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</si>
  <si>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</si>
  <si>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</si>
  <si>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</si>
  <si>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</si>
  <si>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</si>
  <si>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</si>
  <si>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</si>
  <si>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</si>
  <si>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</si>
  <si>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</si>
  <si>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</si>
  <si>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</si>
  <si>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</si>
  <si>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</si>
  <si>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</si>
  <si>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</si>
  <si>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</si>
  <si>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</si>
  <si>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</si>
  <si>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</si>
  <si>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</si>
  <si>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</si>
  <si>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</si>
  <si>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</si>
  <si>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</si>
  <si>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</si>
  <si>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</si>
  <si>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</si>
  <si>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</si>
  <si>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</si>
  <si>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</si>
  <si>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</si>
  <si>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</si>
  <si>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</si>
  <si>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</si>
  <si>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</si>
  <si>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</si>
  <si>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</si>
  <si>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</si>
  <si>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</si>
  <si>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</si>
  <si>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</si>
  <si>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</si>
  <si>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</si>
  <si>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</si>
  <si>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</si>
  <si>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</si>
  <si>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</si>
  <si>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</si>
  <si>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</si>
  <si>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</si>
  <si>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</si>
  <si>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</si>
  <si>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</si>
  <si>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</si>
  <si>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</si>
  <si>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</si>
  <si>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</si>
  <si>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</si>
  <si>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</si>
  <si>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</si>
  <si>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</si>
  <si>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</si>
  <si>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</si>
  <si>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</si>
  <si>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</si>
  <si>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</si>
  <si>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</si>
  <si>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</si>
  <si>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</si>
  <si>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</si>
  <si>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</si>
  <si>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</si>
  <si>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</si>
  <si>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</si>
  <si>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</si>
  <si>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</si>
  <si>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</si>
  <si>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</si>
  <si>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</si>
  <si>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</si>
  <si>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</si>
  <si>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</si>
  <si>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</si>
  <si>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</si>
  <si>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</si>
  <si>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</si>
  <si>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</si>
  <si>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</si>
  <si>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</si>
  <si>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</si>
  <si>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</si>
  <si>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</si>
  <si>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</si>
  <si>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</si>
  <si>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</si>
  <si>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</si>
  <si>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</si>
  <si>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</si>
  <si>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</si>
  <si>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</si>
  <si>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</si>
  <si>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</si>
  <si>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</si>
  <si>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</si>
  <si>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</si>
  <si>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</si>
  <si>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</si>
  <si>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</si>
  <si>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</si>
  <si>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</si>
  <si>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</si>
  <si>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</si>
  <si>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</si>
  <si>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</si>
  <si>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</si>
  <si>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</si>
  <si>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</si>
  <si>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</si>
  <si>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</si>
  <si>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</si>
  <si>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</si>
  <si>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</si>
  <si>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</si>
  <si>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</si>
  <si>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</si>
  <si>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</si>
  <si>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</si>
  <si>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</si>
  <si>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</si>
  <si>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</si>
  <si>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</si>
  <si>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</si>
  <si>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</si>
  <si>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</si>
  <si>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</si>
  <si>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</si>
  <si>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</si>
  <si>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</si>
  <si>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</si>
  <si>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</si>
  <si>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</si>
  <si>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</si>
  <si>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</si>
  <si>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</si>
  <si>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</si>
  <si>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</si>
  <si>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</si>
  <si>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</si>
  <si>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</si>
  <si>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</si>
  <si>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</si>
  <si>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</si>
  <si>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</si>
  <si>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</si>
  <si>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</si>
  <si>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</si>
  <si>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</si>
  <si>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</si>
  <si>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</si>
  <si>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</si>
  <si>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</si>
  <si>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</si>
  <si>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</si>
  <si>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</si>
  <si>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</si>
  <si>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</si>
  <si>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</si>
  <si>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</si>
  <si>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</si>
  <si>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</si>
  <si>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</si>
  <si>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</si>
  <si>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</si>
  <si>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</si>
  <si>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</si>
  <si>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</si>
  <si>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</si>
  <si>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</si>
  <si>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</si>
  <si>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</si>
  <si>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</si>
  <si>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</si>
  <si>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</si>
  <si>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</si>
  <si>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</si>
  <si>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</si>
  <si>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</si>
  <si>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</si>
  <si>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</si>
  <si>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</si>
  <si>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</si>
  <si>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</si>
  <si>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</si>
  <si>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</si>
  <si>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</si>
  <si>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</si>
  <si>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</si>
  <si>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</si>
  <si>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</si>
  <si>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</si>
  <si>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</si>
  <si>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</si>
  <si>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</si>
  <si>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</si>
  <si>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</si>
  <si>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</si>
  <si>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</si>
  <si>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</si>
  <si>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</si>
  <si>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</si>
  <si>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</si>
  <si>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</si>
  <si>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</si>
  <si>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</si>
  <si>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</si>
  <si>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</si>
  <si>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</si>
  <si>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</si>
  <si>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</si>
  <si>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</si>
  <si>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</si>
  <si>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</si>
  <si>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</si>
  <si>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</si>
  <si>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</si>
  <si>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</si>
  <si>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</si>
  <si>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</si>
  <si>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</si>
  <si>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</si>
  <si>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</si>
  <si>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</si>
  <si>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</si>
  <si>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</si>
  <si>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</si>
  <si>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</si>
  <si>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</si>
  <si>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</si>
  <si>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</si>
  <si>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</si>
  <si>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</si>
  <si>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</si>
  <si>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</si>
  <si>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</si>
  <si>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</si>
  <si>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</si>
  <si>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</si>
  <si>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</si>
  <si>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</si>
  <si>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</si>
  <si>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</si>
  <si>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</si>
  <si>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</si>
  <si>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</si>
  <si>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</si>
  <si>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</si>
  <si>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</si>
  <si>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</si>
  <si>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</si>
  <si>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</si>
  <si>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</si>
  <si>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</si>
  <si>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</si>
  <si>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</si>
  <si>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</si>
  <si>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</si>
  <si>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</si>
  <si>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</si>
  <si>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</si>
  <si>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</si>
  <si>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</si>
  <si>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</si>
  <si>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</si>
  <si>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</si>
  <si>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</si>
  <si>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</si>
  <si>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</si>
  <si>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</si>
  <si>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</si>
  <si>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</si>
  <si>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</si>
  <si>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</si>
  <si>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</si>
  <si>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</si>
  <si>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</si>
  <si>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</si>
  <si>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</si>
  <si>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</si>
  <si>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</si>
  <si>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</si>
  <si>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</si>
  <si>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</si>
  <si>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</si>
  <si>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</si>
  <si>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</si>
  <si>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</si>
  <si>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</si>
  <si>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</si>
  <si>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</si>
  <si>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</si>
  <si>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</si>
  <si>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</si>
  <si>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</si>
  <si>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</si>
  <si>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</si>
  <si>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</si>
  <si>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</si>
  <si>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</si>
  <si>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</si>
  <si>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</si>
  <si>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</si>
  <si>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</si>
  <si>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</si>
  <si>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</si>
  <si>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</si>
  <si>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</si>
  <si>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</si>
  <si>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</si>
  <si>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</si>
  <si>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</si>
  <si>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</si>
  <si>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</si>
  <si>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</si>
  <si>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</si>
  <si>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</si>
  <si>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</si>
  <si>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</si>
  <si>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</si>
  <si>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</si>
  <si>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</si>
  <si>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</si>
  <si>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</si>
  <si>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</si>
  <si>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</si>
  <si>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</si>
  <si>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</si>
  <si>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</si>
  <si>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</si>
  <si>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</si>
  <si>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</si>
  <si>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</si>
  <si>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</si>
  <si>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</si>
  <si>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</si>
  <si>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</si>
  <si>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</si>
  <si>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</si>
  <si>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</si>
  <si>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</si>
  <si>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</si>
  <si>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</si>
  <si>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</si>
  <si>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</si>
  <si>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</si>
  <si>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</si>
  <si>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</si>
  <si>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</si>
  <si>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</si>
  <si>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</si>
  <si>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</si>
  <si>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</si>
  <si>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</si>
  <si>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</si>
  <si>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</si>
  <si>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</si>
  <si>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</si>
  <si>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</si>
  <si>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</si>
  <si>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</si>
  <si>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</si>
  <si>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</si>
  <si>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</si>
  <si>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</si>
  <si>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</si>
  <si>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</si>
  <si>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</si>
  <si>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</si>
  <si>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</si>
  <si>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</si>
  <si>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</si>
  <si>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</si>
  <si>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</si>
  <si>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</si>
  <si>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</si>
  <si>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</si>
  <si>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</si>
  <si>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</si>
  <si>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</si>
  <si>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</si>
  <si>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</si>
  <si>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</si>
  <si>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</si>
  <si>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</si>
  <si>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</si>
  <si>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</si>
  <si>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</si>
  <si>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</si>
  <si>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</si>
  <si>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</si>
  <si>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</si>
  <si>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</si>
  <si>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</si>
  <si>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</si>
  <si>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</si>
  <si>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</si>
  <si>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</si>
  <si>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</si>
  <si>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</si>
  <si>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</si>
  <si>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</si>
  <si>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</si>
  <si>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</si>
  <si>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</si>
  <si>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</si>
  <si>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</si>
  <si>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</si>
  <si>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</si>
  <si>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</si>
  <si>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</si>
  <si>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</si>
  <si>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</si>
  <si>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</si>
  <si>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</si>
  <si>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</si>
  <si>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</si>
  <si>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</si>
  <si>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</si>
  <si>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</si>
  <si>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</si>
  <si>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</si>
  <si>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</si>
  <si>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</si>
  <si>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</si>
  <si>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</si>
  <si>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</si>
  <si>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</si>
  <si>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</si>
  <si>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</si>
  <si>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</si>
  <si>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</si>
  <si>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</si>
  <si>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</si>
  <si>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</si>
  <si>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</si>
  <si>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</si>
  <si>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</si>
  <si>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</si>
  <si>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</si>
  <si>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</si>
  <si>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</si>
  <si>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</si>
  <si>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</si>
  <si>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</si>
  <si>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</si>
  <si>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</si>
  <si>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</si>
  <si>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</si>
  <si>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</si>
  <si>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</si>
  <si>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</si>
  <si>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</si>
  <si>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</si>
  <si>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</si>
  <si>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</si>
  <si>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</si>
  <si>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</si>
  <si>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</si>
  <si>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</si>
  <si>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</si>
  <si>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</si>
  <si>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</si>
  <si>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</si>
  <si>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</si>
  <si>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</si>
  <si>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</si>
  <si>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</si>
  <si>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</si>
  <si>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</si>
  <si>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</si>
  <si>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</si>
  <si>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</si>
  <si>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</si>
  <si>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</si>
  <si>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</si>
  <si>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</si>
  <si>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</si>
  <si>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</si>
  <si>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</si>
  <si>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</si>
  <si>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</si>
  <si>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</si>
  <si>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</si>
  <si>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</si>
  <si>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</si>
  <si>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</si>
  <si>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</si>
  <si>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</si>
  <si>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</si>
  <si>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</si>
  <si>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</si>
  <si>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</si>
  <si>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</si>
  <si>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</si>
  <si>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</si>
  <si>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</si>
  <si>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</si>
  <si>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</si>
  <si>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</si>
  <si>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</si>
  <si>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</si>
  <si>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</si>
  <si>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</si>
  <si>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</si>
  <si>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</si>
  <si>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</si>
  <si>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</si>
  <si>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</si>
  <si>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</si>
  <si>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</si>
  <si>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</si>
  <si>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</si>
  <si>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</si>
  <si>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</si>
  <si>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</si>
  <si>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</si>
  <si>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</si>
  <si>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</si>
  <si>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</si>
  <si>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</si>
  <si>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</si>
  <si>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</si>
  <si>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</si>
  <si>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</si>
  <si>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</si>
  <si>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</si>
  <si>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</si>
  <si>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</si>
  <si>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</si>
  <si>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</si>
  <si>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</si>
  <si>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</si>
  <si>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</si>
  <si>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</si>
  <si>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</si>
  <si>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</si>
  <si>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</si>
  <si>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</si>
  <si>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</si>
  <si>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</si>
  <si>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</si>
  <si>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</si>
  <si>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</si>
  <si>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</si>
  <si>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</si>
  <si>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</si>
  <si>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</si>
  <si>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</si>
  <si>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</si>
  <si>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</si>
  <si>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</si>
  <si>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</si>
  <si>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</si>
  <si>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</si>
  <si>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</si>
  <si>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</si>
  <si>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</si>
  <si>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</si>
  <si>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</si>
  <si>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</si>
  <si>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</si>
  <si>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</si>
  <si>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</si>
  <si>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</si>
  <si>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</si>
  <si>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</si>
  <si>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</si>
  <si>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</si>
  <si>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</si>
  <si>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</si>
  <si>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</si>
  <si>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</si>
  <si>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</si>
  <si>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</si>
  <si>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</si>
  <si>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</si>
  <si>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</si>
  <si>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</si>
  <si>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</si>
  <si>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</si>
  <si>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</si>
  <si>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</si>
  <si>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</si>
  <si>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</si>
  <si>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</si>
  <si>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</si>
  <si>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</si>
  <si>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</si>
  <si>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</si>
  <si>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</si>
  <si>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</si>
  <si>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</si>
  <si>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</si>
  <si>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</si>
  <si>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</si>
  <si>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</si>
  <si>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</si>
  <si>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</si>
  <si>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</si>
  <si>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</si>
  <si>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</si>
  <si>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</si>
  <si>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</si>
  <si>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</si>
  <si>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</si>
  <si>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</si>
  <si>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</si>
  <si>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</si>
  <si>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</si>
  <si>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</si>
  <si>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</si>
  <si>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</si>
  <si>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</si>
  <si>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</si>
  <si>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</si>
  <si>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</si>
  <si>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</si>
  <si>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</si>
  <si>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</si>
  <si>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</si>
  <si>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</si>
  <si>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</si>
  <si>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</si>
  <si>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</si>
  <si>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</si>
  <si>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</si>
  <si>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</si>
  <si>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</si>
  <si>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</si>
  <si>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</si>
  <si>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</si>
  <si>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</si>
  <si>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</si>
  <si>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</si>
  <si>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</si>
  <si>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</si>
  <si>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</si>
  <si>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</si>
  <si>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</si>
  <si>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</si>
  <si>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</si>
  <si>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</si>
  <si>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</si>
  <si>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</si>
  <si>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</si>
  <si>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</si>
  <si>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</si>
  <si>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</si>
  <si>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</si>
  <si>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</si>
  <si>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</si>
  <si>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</si>
  <si>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</si>
  <si>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</si>
  <si>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</si>
  <si>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</si>
  <si>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</si>
  <si>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</si>
  <si>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</si>
  <si>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</si>
  <si>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</si>
  <si>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</si>
  <si>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</si>
  <si>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</si>
  <si>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</si>
  <si>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</si>
  <si>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</si>
  <si>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</si>
  <si>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</si>
  <si>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</si>
  <si>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</si>
  <si>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</si>
  <si>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</si>
  <si>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</si>
  <si>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</si>
  <si>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</si>
  <si>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</si>
  <si>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</si>
  <si>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</si>
  <si>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</si>
  <si>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</si>
  <si>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</si>
  <si>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</si>
  <si>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</si>
  <si>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</si>
  <si>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</si>
  <si>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</si>
  <si>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</si>
  <si>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</si>
  <si>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</si>
  <si>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</si>
  <si>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</si>
  <si>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</si>
  <si>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</si>
  <si>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</si>
  <si>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</si>
  <si>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</si>
  <si>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</si>
  <si>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</si>
  <si>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</si>
  <si>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</si>
  <si>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</si>
  <si>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</si>
  <si>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</si>
  <si>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</si>
  <si>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</si>
  <si>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</si>
  <si>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</si>
  <si>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</si>
  <si>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</si>
  <si>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</si>
  <si>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</si>
  <si>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</si>
  <si>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</si>
  <si>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</si>
  <si>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</si>
  <si>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</si>
  <si>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</si>
  <si>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</si>
  <si>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</si>
  <si>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</si>
  <si>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</si>
  <si>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</si>
  <si>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</si>
  <si>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</si>
  <si>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</si>
  <si>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</si>
  <si>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</si>
  <si>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</si>
  <si>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</si>
  <si>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</si>
  <si>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</si>
  <si>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</si>
  <si>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</si>
  <si>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</si>
  <si>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</si>
  <si>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</si>
  <si>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</si>
  <si>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</si>
  <si>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</si>
  <si>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</si>
  <si>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</si>
  <si>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</si>
  <si>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</si>
  <si>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</si>
  <si>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</si>
  <si>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</si>
  <si>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</si>
  <si>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</si>
  <si>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</si>
  <si>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</si>
  <si>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</si>
  <si>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</si>
  <si>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</si>
  <si>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</si>
  <si>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</si>
  <si>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</si>
  <si>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</si>
  <si>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</si>
  <si>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</si>
  <si>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</si>
  <si>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</si>
  <si>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</si>
  <si>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</si>
  <si>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</si>
  <si>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</si>
  <si>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</si>
  <si>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</si>
  <si>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</si>
  <si>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</si>
  <si>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</si>
  <si>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</si>
  <si>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</si>
  <si>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</si>
  <si>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</si>
  <si>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</si>
  <si>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</si>
  <si>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</si>
  <si>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</si>
  <si>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</si>
  <si>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</si>
  <si>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</si>
  <si>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</si>
  <si>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</si>
  <si>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</si>
  <si>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</si>
  <si>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</si>
  <si>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</si>
  <si>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</si>
  <si>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</si>
  <si>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</si>
  <si>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</si>
  <si>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</si>
  <si>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</si>
  <si>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</si>
  <si>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</si>
  <si>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</si>
  <si>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</si>
  <si>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</si>
  <si>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</si>
  <si>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</si>
  <si>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</si>
  <si>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</si>
  <si>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</si>
  <si>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</si>
  <si>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</si>
  <si>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</si>
  <si>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</si>
  <si>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</si>
  <si>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</si>
  <si>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</si>
  <si>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</si>
  <si>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</si>
  <si>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</si>
  <si>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</si>
  <si>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</si>
  <si>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</si>
  <si>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</si>
  <si>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</si>
  <si>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</si>
  <si>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</si>
  <si>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</si>
  <si>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</si>
  <si>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</si>
  <si>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</si>
  <si>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</si>
  <si>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</si>
  <si>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</si>
  <si>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</si>
  <si>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</si>
  <si>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</si>
  <si>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</si>
  <si>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</si>
  <si>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</si>
  <si>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</si>
  <si>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</si>
  <si>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</si>
  <si>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</si>
  <si>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</si>
  <si>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</si>
  <si>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</si>
  <si>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</si>
  <si>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</si>
  <si>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</si>
  <si>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</si>
  <si>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</si>
  <si>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</si>
  <si>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</si>
  <si>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</si>
  <si>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</si>
  <si>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</si>
  <si>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</si>
  <si>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</si>
  <si>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</si>
  <si>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</si>
  <si>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</si>
  <si>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</si>
  <si>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</si>
  <si>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</si>
  <si>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</si>
  <si>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</si>
  <si>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</si>
  <si>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</si>
  <si>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</si>
  <si>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</si>
  <si>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</si>
  <si>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</si>
  <si>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</si>
  <si>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</si>
  <si>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</si>
  <si>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</si>
  <si>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</si>
  <si>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</si>
  <si>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</si>
  <si>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</si>
  <si>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</si>
  <si>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</si>
  <si>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</si>
  <si>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</si>
  <si>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</si>
  <si>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</si>
  <si>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</si>
  <si>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</si>
  <si>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</si>
  <si>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</si>
  <si>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</si>
  <si>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</si>
  <si>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</si>
  <si>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</si>
  <si>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</si>
  <si>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</si>
  <si>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</si>
  <si>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</si>
  <si>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</si>
  <si>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</si>
  <si>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</si>
  <si>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</si>
  <si>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</si>
  <si>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</si>
  <si>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</si>
  <si>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</si>
  <si>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</si>
  <si>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</si>
  <si>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</si>
  <si>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</si>
  <si>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</si>
  <si>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</si>
  <si>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</si>
  <si>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</si>
  <si>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</si>
  <si>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</si>
  <si>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</si>
  <si>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</si>
  <si>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</si>
  <si>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</si>
  <si>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</si>
  <si>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</si>
  <si>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</si>
  <si>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</si>
  <si>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</si>
  <si>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</si>
  <si>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</si>
  <si>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</si>
  <si>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</si>
  <si>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</si>
  <si>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</si>
  <si>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</si>
  <si>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</si>
  <si>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</si>
  <si>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</si>
  <si>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</si>
  <si>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</si>
  <si>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</si>
  <si>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</si>
  <si>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</si>
  <si>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</si>
  <si>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</si>
  <si>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</si>
  <si>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</si>
  <si>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</si>
  <si>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</si>
  <si>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</si>
  <si>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</si>
  <si>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</si>
  <si>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</si>
  <si>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</si>
  <si>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</si>
  <si>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</si>
  <si>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</si>
  <si>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</si>
  <si>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</si>
  <si>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</si>
  <si>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</si>
  <si>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</si>
  <si>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</si>
  <si>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</si>
  <si>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</si>
  <si>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</si>
  <si>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</si>
  <si>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</si>
  <si>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</si>
  <si>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</si>
  <si>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</si>
  <si>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</si>
  <si>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</si>
  <si>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</si>
  <si>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</si>
  <si>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</si>
  <si>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</si>
  <si>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</si>
  <si>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</si>
  <si>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</si>
  <si>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</si>
  <si>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</si>
  <si>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</si>
  <si>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</si>
  <si>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</si>
  <si>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</si>
  <si>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</si>
  <si>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</si>
  <si>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</si>
  <si>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</si>
  <si>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</si>
  <si>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</si>
  <si>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</si>
  <si>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</si>
  <si>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</si>
  <si>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</si>
  <si>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</si>
  <si>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</si>
  <si>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</si>
  <si>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</si>
  <si>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</si>
  <si>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</si>
  <si>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</si>
  <si>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</si>
  <si>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</si>
  <si>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</si>
  <si>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</si>
  <si>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</si>
  <si>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</si>
  <si>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</si>
  <si>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</si>
  <si>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</si>
  <si>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</si>
  <si>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</si>
  <si>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</si>
  <si>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</si>
  <si>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</si>
  <si>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</si>
  <si>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</si>
  <si>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</si>
  <si>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</si>
  <si>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</si>
  <si>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</si>
  <si>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</si>
  <si>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</si>
  <si>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</si>
  <si>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</si>
  <si>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</si>
  <si>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</si>
  <si>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</si>
  <si>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</si>
  <si>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</si>
  <si>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</si>
  <si>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</si>
  <si>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</si>
  <si>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</si>
  <si>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</si>
  <si>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</si>
  <si>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</si>
  <si>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</si>
  <si>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</si>
  <si>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</si>
  <si>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</si>
  <si>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</si>
  <si>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</si>
  <si>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</si>
  <si>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</si>
  <si>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</si>
  <si>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</si>
  <si>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</si>
  <si>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</si>
  <si>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</si>
  <si>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</si>
  <si>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</si>
  <si>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</si>
  <si>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</si>
  <si>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</si>
  <si>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</si>
  <si>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</si>
  <si>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</si>
  <si>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</si>
  <si>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</si>
  <si>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</si>
  <si>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</si>
  <si>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</si>
  <si>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</si>
  <si>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</si>
  <si>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</si>
  <si>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</si>
  <si>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</si>
  <si>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</si>
  <si>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</si>
  <si>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</si>
  <si>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</si>
  <si>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</si>
  <si>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</si>
  <si>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</si>
  <si>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</si>
  <si>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</si>
  <si>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</si>
  <si>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</si>
  <si>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</si>
  <si>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</si>
  <si>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</si>
  <si>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</si>
  <si>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</si>
  <si>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</si>
  <si>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</si>
  <si>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</si>
  <si>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</si>
  <si>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</si>
  <si>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</si>
  <si>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</si>
  <si>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</si>
  <si>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</si>
  <si>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</si>
  <si>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</si>
  <si>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</si>
  <si>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</si>
  <si>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</si>
  <si>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</si>
  <si>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</si>
  <si>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</si>
  <si>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</si>
  <si>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</si>
  <si>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</si>
  <si>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</si>
  <si>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</si>
  <si>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</si>
  <si>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</si>
  <si>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</si>
  <si>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</si>
  <si>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</si>
  <si>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</si>
  <si>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</si>
  <si>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</si>
  <si>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</si>
  <si>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</si>
  <si>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</si>
  <si>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</si>
  <si>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</si>
  <si>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</si>
  <si>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</si>
  <si>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</si>
  <si>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</si>
  <si>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</si>
  <si>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</si>
  <si>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</si>
  <si>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</si>
  <si>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</si>
  <si>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</si>
  <si>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</si>
  <si>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</si>
  <si>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</si>
  <si>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</si>
  <si>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</si>
  <si>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</si>
  <si>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</si>
  <si>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</si>
  <si>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</si>
  <si>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</si>
  <si>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</si>
  <si>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</si>
  <si>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</si>
  <si>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</si>
  <si>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</si>
  <si>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</si>
  <si>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</si>
  <si>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</si>
  <si>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</si>
  <si>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</si>
  <si>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</si>
  <si>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</si>
  <si>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</si>
  <si>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</si>
  <si>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</si>
  <si>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</si>
  <si>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</si>
  <si>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</si>
  <si>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</si>
  <si>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</si>
  <si>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</si>
  <si>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</si>
  <si>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</si>
  <si>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</si>
  <si>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</si>
  <si>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</si>
  <si>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</si>
  <si>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</si>
  <si>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</si>
  <si>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</si>
  <si>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</si>
  <si>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</si>
  <si>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</si>
  <si>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</si>
  <si>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</si>
  <si>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</si>
  <si>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</si>
  <si>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</si>
  <si>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</si>
  <si>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</si>
  <si>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</si>
  <si>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</si>
  <si>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</si>
  <si>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</si>
  <si>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</si>
  <si>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</si>
  <si>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</si>
  <si>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</si>
  <si>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</si>
  <si>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</si>
  <si>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</si>
  <si>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</si>
  <si>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</si>
  <si>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</si>
  <si>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</si>
  <si>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</si>
  <si>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</si>
  <si>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</si>
  <si>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</si>
  <si>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</si>
  <si>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</si>
  <si>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</si>
  <si>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</si>
  <si>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</si>
  <si>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</si>
  <si>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</si>
  <si>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</si>
  <si>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</si>
  <si>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</si>
  <si>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</si>
  <si>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</si>
  <si>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</si>
  <si>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</si>
  <si>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</si>
  <si>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</si>
  <si>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</si>
  <si>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</si>
  <si>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</si>
  <si>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</si>
  <si>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</si>
  <si>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</si>
  <si>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</si>
  <si>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</si>
  <si>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</si>
  <si>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</si>
  <si>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</si>
  <si>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</si>
  <si>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</si>
  <si>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</si>
  <si>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</si>
  <si>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</si>
  <si>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</si>
  <si>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</si>
  <si>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</si>
  <si>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</si>
  <si>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</si>
  <si>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</si>
  <si>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</si>
  <si>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</si>
  <si>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</si>
  <si>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</si>
  <si>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</si>
  <si>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</si>
  <si>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</si>
  <si>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</si>
  <si>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</si>
  <si>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</si>
  <si>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</si>
  <si>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</si>
  <si>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</si>
  <si>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</si>
  <si>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</si>
  <si>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</si>
  <si>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</si>
  <si>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</si>
  <si>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</si>
  <si>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</si>
  <si>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</si>
  <si>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</si>
  <si>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</si>
  <si>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</si>
  <si>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</si>
  <si>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</si>
  <si>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</si>
  <si>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</si>
  <si>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</si>
  <si>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</si>
  <si>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</si>
  <si>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</si>
  <si>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</si>
  <si>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</si>
  <si>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</si>
  <si>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</si>
  <si>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</si>
  <si>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</si>
  <si>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</si>
  <si>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</si>
  <si>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</si>
  <si>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</si>
  <si>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</si>
  <si>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</si>
  <si>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</si>
  <si>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</si>
  <si>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</si>
  <si>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</si>
  <si>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</si>
  <si>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</si>
  <si>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</si>
  <si>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</si>
  <si>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</si>
  <si>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</si>
  <si>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</si>
  <si>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</si>
  <si>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</si>
  <si>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</si>
  <si>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</si>
  <si>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</si>
  <si>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</si>
  <si>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</si>
  <si>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</si>
  <si>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</si>
  <si>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</si>
  <si>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</si>
  <si>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</si>
  <si>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</si>
  <si>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</si>
  <si>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</si>
  <si>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</si>
  <si>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</si>
  <si>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</si>
  <si>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</si>
  <si>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</si>
  <si>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</si>
  <si>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</si>
  <si>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</si>
  <si>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</si>
  <si>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</si>
  <si>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</si>
  <si>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</si>
  <si>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</si>
  <si>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</si>
  <si>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</si>
  <si>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</si>
  <si>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</si>
  <si>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</si>
  <si>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</si>
  <si>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</si>
  <si>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</si>
  <si>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</si>
  <si>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</si>
  <si>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</si>
  <si>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</si>
  <si>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</si>
  <si>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</si>
  <si>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</si>
  <si>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</si>
  <si>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</si>
  <si>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</si>
  <si>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</si>
  <si>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</si>
  <si>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</si>
  <si>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</si>
  <si>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</si>
  <si>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</si>
  <si>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</si>
  <si>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</si>
  <si>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</si>
  <si>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</si>
  <si>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</si>
  <si>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</si>
  <si>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</si>
  <si>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</si>
  <si>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</si>
  <si>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</si>
  <si>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</si>
  <si>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</si>
  <si>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</si>
  <si>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</si>
  <si>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</si>
  <si>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</si>
  <si>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</si>
  <si>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</si>
  <si>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</si>
  <si>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</si>
  <si>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</si>
  <si>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</si>
  <si>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</si>
  <si>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</si>
  <si>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</si>
  <si>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</si>
  <si>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</si>
  <si>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</si>
  <si>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</si>
  <si>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</si>
  <si>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</si>
  <si>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</si>
  <si>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</si>
  <si>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</si>
  <si>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</si>
  <si>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</si>
  <si>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</si>
  <si>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</si>
  <si>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</si>
  <si>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</si>
  <si>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</si>
  <si>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</si>
  <si>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</si>
  <si>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</si>
  <si>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</si>
  <si>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</si>
  <si>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</si>
  <si>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</si>
  <si>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</si>
  <si>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</si>
  <si>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</si>
  <si>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</si>
  <si>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</si>
  <si>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</si>
  <si>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</si>
  <si>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</si>
  <si>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</si>
  <si>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</si>
  <si>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</si>
  <si>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</si>
  <si>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</si>
  <si>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</si>
  <si>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</si>
  <si>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</si>
  <si>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</si>
  <si>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</si>
  <si>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</si>
  <si>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</si>
  <si>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</si>
  <si>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</si>
  <si>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</si>
  <si>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</si>
  <si>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</si>
  <si>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</si>
  <si>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</si>
  <si>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</si>
  <si>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</si>
  <si>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</si>
  <si>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</si>
  <si>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</si>
  <si>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</si>
  <si>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</si>
  <si>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</si>
  <si>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</si>
  <si>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</si>
  <si>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</si>
  <si>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</si>
  <si>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</si>
  <si>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</si>
  <si>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</si>
  <si>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</si>
  <si>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</si>
  <si>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</si>
  <si>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</si>
  <si>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</si>
  <si>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</si>
  <si>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</si>
  <si>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</si>
  <si>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</si>
  <si>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</si>
  <si>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</si>
  <si>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</si>
  <si>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</si>
  <si>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</si>
  <si>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</si>
  <si>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</si>
  <si>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</si>
  <si>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</si>
  <si>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</si>
  <si>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</si>
  <si>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</si>
  <si>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</si>
  <si>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</si>
  <si>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</si>
  <si>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</si>
  <si>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</si>
  <si>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</si>
  <si>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</si>
  <si>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</si>
  <si>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</si>
  <si>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</si>
  <si>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</si>
  <si>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</si>
  <si>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</si>
  <si>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</si>
  <si>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</si>
  <si>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</si>
  <si>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</si>
  <si>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</si>
  <si>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</si>
  <si>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</si>
  <si>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</si>
  <si>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</si>
  <si>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</si>
  <si>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</si>
  <si>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</si>
  <si>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</si>
  <si>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</si>
  <si>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</si>
  <si>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</si>
  <si>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</si>
  <si>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</si>
  <si>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</si>
  <si>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</si>
  <si>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</si>
  <si>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</si>
  <si>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</si>
  <si>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</si>
  <si>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</si>
  <si>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</si>
  <si>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</si>
  <si>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</si>
  <si>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</si>
  <si>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</si>
  <si>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</si>
  <si>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</si>
  <si>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</si>
  <si>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</si>
  <si>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</si>
  <si>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</si>
  <si>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</si>
  <si>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</si>
  <si>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</si>
  <si>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</si>
  <si>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</si>
  <si>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</si>
  <si>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</si>
  <si>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</si>
  <si>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</si>
  <si>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</si>
  <si>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</si>
  <si>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</si>
  <si>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</si>
  <si>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</si>
  <si>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</si>
  <si>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</si>
  <si>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</si>
  <si>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</si>
  <si>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</si>
  <si>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</si>
  <si>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</si>
  <si>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</si>
  <si>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</si>
  <si>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</si>
  <si>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</si>
  <si>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</si>
  <si>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</si>
  <si>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</si>
  <si>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</si>
  <si>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</si>
  <si>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</si>
  <si>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</si>
  <si>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</si>
  <si>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</si>
  <si>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</si>
  <si>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</si>
  <si>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</si>
  <si>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</si>
  <si>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</si>
  <si>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</si>
  <si>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</si>
  <si>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</si>
  <si>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</si>
  <si>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</si>
  <si>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</si>
  <si>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</si>
  <si>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</si>
  <si>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</si>
  <si>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</si>
  <si>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</si>
  <si>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</si>
  <si>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</si>
  <si>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</si>
  <si>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</si>
  <si>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</si>
  <si>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</si>
  <si>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</si>
  <si>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</si>
  <si>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</si>
  <si>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</si>
  <si>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</si>
  <si>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</si>
  <si>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</si>
  <si>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</si>
  <si>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</si>
  <si>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</si>
  <si>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</si>
  <si>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</si>
  <si>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</si>
  <si>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</si>
  <si>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</si>
  <si>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</si>
  <si>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</si>
  <si>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</si>
  <si>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</si>
  <si>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</si>
  <si>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</si>
  <si>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</si>
  <si>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</si>
  <si>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</si>
  <si>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</si>
  <si>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</si>
  <si>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</si>
  <si>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</si>
  <si>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</si>
  <si>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</si>
  <si>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</si>
  <si>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</si>
  <si>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</si>
  <si>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</si>
  <si>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</si>
  <si>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</si>
  <si>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</si>
  <si>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</si>
  <si>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</si>
  <si>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</si>
  <si>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</si>
  <si>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</si>
  <si>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</si>
  <si>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</si>
  <si>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</si>
  <si>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</si>
  <si>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</si>
  <si>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</si>
  <si>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</si>
  <si>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</si>
  <si>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</si>
  <si>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</si>
  <si>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</si>
  <si>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</si>
  <si>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</si>
  <si>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</si>
  <si>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</si>
  <si>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</si>
  <si>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</si>
  <si>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</si>
  <si>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</si>
  <si>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</si>
  <si>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</si>
  <si>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</si>
  <si>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</si>
  <si>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</si>
  <si>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</si>
  <si>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</si>
  <si>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</si>
  <si>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</si>
  <si>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</si>
  <si>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</si>
  <si>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</si>
  <si>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</si>
  <si>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</si>
  <si>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</si>
  <si>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</si>
  <si>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</si>
  <si>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</si>
  <si>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</si>
  <si>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</si>
  <si>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</si>
  <si>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</si>
  <si>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</si>
  <si>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</si>
  <si>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</si>
  <si>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</si>
  <si>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</si>
  <si>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</si>
  <si>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</si>
  <si>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</si>
  <si>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</si>
  <si>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</si>
  <si>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</si>
  <si>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</si>
  <si>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</si>
  <si>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</si>
  <si>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</si>
  <si>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</si>
  <si>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</si>
  <si>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</si>
  <si>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</si>
  <si>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</si>
  <si>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</si>
  <si>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</si>
  <si>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</si>
  <si>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</si>
  <si>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</si>
  <si>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</si>
  <si>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</si>
  <si>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</si>
  <si>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</si>
  <si>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</si>
  <si>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</si>
  <si>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</si>
  <si>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</si>
  <si>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</si>
  <si>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</si>
  <si>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</si>
  <si>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</si>
  <si>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</si>
  <si>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</si>
  <si>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</si>
  <si>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</si>
  <si>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</si>
  <si>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</si>
  <si>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</si>
  <si>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</si>
  <si>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</si>
  <si>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</si>
  <si>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</si>
  <si>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</si>
  <si>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</si>
  <si>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</si>
  <si>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</si>
  <si>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</si>
  <si>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</si>
  <si>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</si>
  <si>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</si>
  <si>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</si>
  <si>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</si>
  <si>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</si>
  <si>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</si>
  <si>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</si>
  <si>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</si>
  <si>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</si>
  <si>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</si>
  <si>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</si>
  <si>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</si>
  <si>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</si>
  <si>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</si>
  <si>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</si>
  <si>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</si>
  <si>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</si>
  <si>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</si>
  <si>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</si>
  <si>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</si>
  <si>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</si>
  <si>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</si>
  <si>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</si>
  <si>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</si>
  <si>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</si>
  <si>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</si>
  <si>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</si>
  <si>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</si>
  <si>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</si>
  <si>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</si>
  <si>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</si>
  <si>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</si>
  <si>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</si>
  <si>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</si>
  <si>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</si>
  <si>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</si>
  <si>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</si>
  <si>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</si>
  <si>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</si>
  <si>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</si>
  <si>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</si>
  <si>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</si>
  <si>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</si>
  <si>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</si>
  <si>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</si>
  <si>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</si>
  <si>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</si>
  <si>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</si>
  <si>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</si>
  <si>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</si>
  <si>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</si>
  <si>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</si>
  <si>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</si>
  <si>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</si>
  <si>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</si>
  <si>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</si>
  <si>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</si>
  <si>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</si>
  <si>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</si>
  <si>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</si>
  <si>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</si>
  <si>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</si>
  <si>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</si>
  <si>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</si>
  <si>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</si>
  <si>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</si>
  <si>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</si>
  <si>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</si>
  <si>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</si>
  <si>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</si>
  <si>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</si>
  <si>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</si>
  <si>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</si>
  <si>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</si>
  <si>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</si>
  <si>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</si>
  <si>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</si>
  <si>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</si>
  <si>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</si>
  <si>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</si>
  <si>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</si>
  <si>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</si>
  <si>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</si>
  <si>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</si>
  <si>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</si>
  <si>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</si>
  <si>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</si>
  <si>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</si>
  <si>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</si>
  <si>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</si>
  <si>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</si>
  <si>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</si>
  <si>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</si>
  <si>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</si>
  <si>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</si>
  <si>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</si>
  <si>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</si>
  <si>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</si>
  <si>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</si>
  <si>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</si>
  <si>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</si>
  <si>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</si>
  <si>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</si>
  <si>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</si>
  <si>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</si>
  <si>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</si>
  <si>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</si>
  <si>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</si>
  <si>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</si>
  <si>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</si>
  <si>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</si>
  <si>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</si>
  <si>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</si>
  <si>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</si>
  <si>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</si>
  <si>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</si>
  <si>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</si>
  <si>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</si>
  <si>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</si>
  <si>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</si>
  <si>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</si>
  <si>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</si>
  <si>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</si>
  <si>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</si>
  <si>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</si>
  <si>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</si>
  <si>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</si>
  <si>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</si>
  <si>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</si>
  <si>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</si>
  <si>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</si>
  <si>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</si>
  <si>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</si>
  <si>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</si>
  <si>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</si>
  <si>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</si>
  <si>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</si>
  <si>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</si>
  <si>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</si>
  <si>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</si>
  <si>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</si>
  <si>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</si>
  <si>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</si>
  <si>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</si>
  <si>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</si>
  <si>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</si>
  <si>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</si>
  <si>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</si>
  <si>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</si>
  <si>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</si>
  <si>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</si>
  <si>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</si>
  <si>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</si>
  <si>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</si>
  <si>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</si>
  <si>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</si>
  <si>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</si>
  <si>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</si>
  <si>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</si>
  <si>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</si>
  <si>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</si>
  <si>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</si>
  <si>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</si>
  <si>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</si>
  <si>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</si>
  <si>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</si>
  <si>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</si>
  <si>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</si>
  <si>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</si>
  <si>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</si>
  <si>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</si>
  <si>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</si>
  <si>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</si>
  <si>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</si>
  <si>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</si>
  <si>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</si>
  <si>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</si>
  <si>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</si>
  <si>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</si>
  <si>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</si>
  <si>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</si>
  <si>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</si>
  <si>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</si>
  <si>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</si>
  <si>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</si>
  <si>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</si>
  <si>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</si>
  <si>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</si>
  <si>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</si>
  <si>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</si>
  <si>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</si>
  <si>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</si>
  <si>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</si>
  <si>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</si>
  <si>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</si>
  <si>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</si>
  <si>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</si>
  <si>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</si>
  <si>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</si>
  <si>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</si>
  <si>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</si>
  <si>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</si>
  <si>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</si>
  <si>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</si>
  <si>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</si>
  <si>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</si>
  <si>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</si>
  <si>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</si>
  <si>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</si>
  <si>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</si>
  <si>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</si>
  <si>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</si>
  <si>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</si>
  <si>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</si>
  <si>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</si>
  <si>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</si>
  <si>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</si>
  <si>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</si>
  <si>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</si>
  <si>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</si>
  <si>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</si>
  <si>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</si>
  <si>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</si>
  <si>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</si>
  <si>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</si>
  <si>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</si>
  <si>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</si>
  <si>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</si>
  <si>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</si>
  <si>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</si>
  <si>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</si>
  <si>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</si>
  <si>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</si>
  <si>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</si>
  <si>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</si>
  <si>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</si>
  <si>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</si>
  <si>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</si>
  <si>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</si>
  <si>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</si>
  <si>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</si>
  <si>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</si>
  <si>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</si>
  <si>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</si>
  <si>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</si>
  <si>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</si>
  <si>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</si>
  <si>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</si>
  <si>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</si>
  <si>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</si>
  <si>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</si>
  <si>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</si>
  <si>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</si>
  <si>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</si>
  <si>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</si>
  <si>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</si>
  <si>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</si>
  <si>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</si>
  <si>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</si>
  <si>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</si>
  <si>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</si>
  <si>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</si>
  <si>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</si>
  <si>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</si>
  <si>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</si>
  <si>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</si>
  <si>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</si>
  <si>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</si>
  <si>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</si>
  <si>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</si>
  <si>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</si>
  <si>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</si>
  <si>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</si>
  <si>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</si>
  <si>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</si>
  <si>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</si>
  <si>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</si>
  <si>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</si>
  <si>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</si>
  <si>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</si>
  <si>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</si>
  <si>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</si>
  <si>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</si>
  <si>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</si>
  <si>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</si>
  <si>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</si>
  <si>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</si>
  <si>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</si>
  <si>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</si>
  <si>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</si>
  <si>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</si>
  <si>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</si>
  <si>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</si>
  <si>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</si>
  <si>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</si>
  <si>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</si>
  <si>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</si>
  <si>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</si>
  <si>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</si>
  <si>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</si>
  <si>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</si>
  <si>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</si>
  <si>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</si>
  <si>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</si>
  <si>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</si>
  <si>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</si>
  <si>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</si>
  <si>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</si>
  <si>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</si>
  <si>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</si>
  <si>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</si>
  <si>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</si>
  <si>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</si>
  <si>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</si>
  <si>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</si>
  <si>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</si>
  <si>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</si>
  <si>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</si>
  <si>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</si>
  <si>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</si>
  <si>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</si>
  <si>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</si>
  <si>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</si>
  <si>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</si>
  <si>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</si>
  <si>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</si>
  <si>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</si>
  <si>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</si>
  <si>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</si>
  <si>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</si>
  <si>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</si>
  <si>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</si>
  <si>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</si>
  <si>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</si>
  <si>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</si>
  <si>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</si>
  <si>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</si>
  <si>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</si>
  <si>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</si>
  <si>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</si>
  <si>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</si>
  <si>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</si>
  <si>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</si>
  <si>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</si>
  <si>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</si>
  <si>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</si>
  <si>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</si>
  <si>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</si>
  <si>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</si>
  <si>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</si>
  <si>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</si>
  <si>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</si>
  <si>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</si>
  <si>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</si>
  <si>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</si>
  <si>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</si>
  <si>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</si>
  <si>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</si>
  <si>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</si>
  <si>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</si>
  <si>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</si>
  <si>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</si>
  <si>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</si>
  <si>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</si>
  <si>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</si>
  <si>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</si>
  <si>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</si>
  <si>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</si>
  <si>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</si>
  <si>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</si>
  <si>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</si>
  <si>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</si>
  <si>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</si>
  <si>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</si>
  <si>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</si>
  <si>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</si>
  <si>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</si>
  <si>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</si>
  <si>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</si>
  <si>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</si>
  <si>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</si>
  <si>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</si>
  <si>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</si>
  <si>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</si>
  <si>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</si>
  <si>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</si>
  <si>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</si>
  <si>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</si>
  <si>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</si>
  <si>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</si>
  <si>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</si>
  <si>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</si>
  <si>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</si>
  <si>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</si>
  <si>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</si>
  <si>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</si>
  <si>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</si>
  <si>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</si>
  <si>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</si>
  <si>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</si>
  <si>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</si>
  <si>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</si>
  <si>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</si>
  <si>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</si>
  <si>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</si>
  <si>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</si>
  <si>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</si>
  <si>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</si>
  <si>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</si>
  <si>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</si>
  <si>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</si>
  <si>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</si>
  <si>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</si>
  <si>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</si>
  <si>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</si>
  <si>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</si>
  <si>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</si>
  <si>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</si>
  <si>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</si>
  <si>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</si>
  <si>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</si>
  <si>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</si>
  <si>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</si>
  <si>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</si>
  <si>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</si>
  <si>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</si>
  <si>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</si>
  <si>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</si>
  <si>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</si>
  <si>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</si>
  <si>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</si>
  <si>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</si>
  <si>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</si>
  <si>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</si>
  <si>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</si>
  <si>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</si>
  <si>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</si>
  <si>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</si>
  <si>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</si>
  <si>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</si>
  <si>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</si>
  <si>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</si>
  <si>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</si>
  <si>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</si>
  <si>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</si>
  <si>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</si>
  <si>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</si>
  <si>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</si>
  <si>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</si>
  <si>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</si>
  <si>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</si>
  <si>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</si>
  <si>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</si>
  <si>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</si>
  <si>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</si>
  <si>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</si>
  <si>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</si>
  <si>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</si>
  <si>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</si>
  <si>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</si>
  <si>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</si>
  <si>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</si>
  <si>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</si>
  <si>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</si>
  <si>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</si>
  <si>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</si>
  <si>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</si>
  <si>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</si>
  <si>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</si>
  <si>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</si>
  <si>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</si>
  <si>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</si>
  <si>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</si>
  <si>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</si>
  <si>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</si>
  <si>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</si>
  <si>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</si>
  <si>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</si>
  <si>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</si>
  <si>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</si>
  <si>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</si>
  <si>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</si>
  <si>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</si>
  <si>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</si>
  <si>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</si>
  <si>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</si>
  <si>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</si>
  <si>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</si>
  <si>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</si>
  <si>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</si>
  <si>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</si>
  <si>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</si>
  <si>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</si>
  <si>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</si>
  <si>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</si>
  <si>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</si>
  <si>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</si>
  <si>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</si>
  <si>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</si>
  <si>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</si>
  <si>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</si>
  <si>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</si>
  <si>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</si>
  <si>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</si>
  <si>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</si>
  <si>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</si>
  <si>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</si>
  <si>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</si>
  <si>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</si>
  <si>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</si>
  <si>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</si>
  <si>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</si>
  <si>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</si>
  <si>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</si>
  <si>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</si>
  <si>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</si>
  <si>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</si>
  <si>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</si>
  <si>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</si>
  <si>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</si>
  <si>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</si>
  <si>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</si>
  <si>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</si>
  <si>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</si>
  <si>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</si>
  <si>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</si>
  <si>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</si>
  <si>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</si>
  <si>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</si>
  <si>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</si>
  <si>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</si>
  <si>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</si>
  <si>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</si>
  <si>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</si>
  <si>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</si>
  <si>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</si>
  <si>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</si>
  <si>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</si>
  <si>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</si>
  <si>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</si>
  <si>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</si>
  <si>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</si>
  <si>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</si>
  <si>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</si>
  <si>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</si>
  <si>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</si>
  <si>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</si>
  <si>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</si>
  <si>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</si>
  <si>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</si>
  <si>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</si>
  <si>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</si>
  <si>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</si>
  <si>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</si>
  <si>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</si>
  <si>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</si>
  <si>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</si>
  <si>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</si>
  <si>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</si>
  <si>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</si>
  <si>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</si>
  <si>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</si>
  <si>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</si>
  <si>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</si>
  <si>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</si>
  <si>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</si>
  <si>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</si>
  <si>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</si>
  <si>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</si>
  <si>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</si>
  <si>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</si>
  <si>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</si>
  <si>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</si>
  <si>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</si>
  <si>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</si>
  <si>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</si>
  <si>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</si>
  <si>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</si>
  <si>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</si>
  <si>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</si>
  <si>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</si>
  <si>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</si>
  <si>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</si>
  <si>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</si>
  <si>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</si>
  <si>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</si>
  <si>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</si>
  <si>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</si>
  <si>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</si>
  <si>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</si>
  <si>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</si>
  <si>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</si>
  <si>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</si>
  <si>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</si>
  <si>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</si>
  <si>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</si>
  <si>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</si>
  <si>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</si>
  <si>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</si>
  <si>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</si>
  <si>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</si>
  <si>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</si>
  <si>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</si>
  <si>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</si>
  <si>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</si>
  <si>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</si>
  <si>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</si>
  <si>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</si>
  <si>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</si>
  <si>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</si>
  <si>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</si>
  <si>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</si>
  <si>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</si>
  <si>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</si>
  <si>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</si>
  <si>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</si>
  <si>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</si>
  <si>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</si>
  <si>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</si>
  <si>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</si>
  <si>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</si>
  <si>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</si>
  <si>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</si>
  <si>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</si>
  <si>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</si>
  <si>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</si>
  <si>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</si>
  <si>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</si>
  <si>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</si>
  <si>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</si>
  <si>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</si>
  <si>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</si>
  <si>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</si>
  <si>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</si>
  <si>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</si>
  <si>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</si>
  <si>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</si>
  <si>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</si>
  <si>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</si>
  <si>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</si>
  <si>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</si>
  <si>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</si>
  <si>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</si>
  <si>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</si>
  <si>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</si>
  <si>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</si>
  <si>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</si>
  <si>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</si>
  <si>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</si>
  <si>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</si>
  <si>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</si>
  <si>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</si>
  <si>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</si>
  <si>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</si>
  <si>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</si>
  <si>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</si>
  <si>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</si>
  <si>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</si>
  <si>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</si>
  <si>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</si>
  <si>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</si>
  <si>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</si>
  <si>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</si>
  <si>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</si>
  <si>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</si>
  <si>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</si>
  <si>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</si>
  <si>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</si>
  <si>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</si>
  <si>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</si>
  <si>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</si>
  <si>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</si>
  <si>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</si>
  <si>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</si>
  <si>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</si>
  <si>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</si>
  <si>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</si>
  <si>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</si>
  <si>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</si>
  <si>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</si>
  <si>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</si>
  <si>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</si>
  <si>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</si>
  <si>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</si>
  <si>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</si>
  <si>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</si>
  <si>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</si>
  <si>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</si>
  <si>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</si>
  <si>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</si>
  <si>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</si>
  <si>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</si>
  <si>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</si>
  <si>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</si>
  <si>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</si>
  <si>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</si>
  <si>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</si>
  <si>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</si>
  <si>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</si>
  <si>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</si>
  <si>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</si>
  <si>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</si>
  <si>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</si>
  <si>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</si>
  <si>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</si>
  <si>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</si>
  <si>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</si>
  <si>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</si>
  <si>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</si>
  <si>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</si>
  <si>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</si>
  <si>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</si>
  <si>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</si>
  <si>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</si>
  <si>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</si>
  <si>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</si>
  <si>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</si>
  <si>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</si>
  <si>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</si>
  <si>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</si>
  <si>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</si>
  <si>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</si>
  <si>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</si>
  <si>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</si>
  <si>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</si>
  <si>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</si>
  <si>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</si>
  <si>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</si>
  <si>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</si>
  <si>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</si>
  <si>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</si>
  <si>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</si>
  <si>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</si>
  <si>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</si>
  <si>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</si>
  <si>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</si>
  <si>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</si>
  <si>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</si>
  <si>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</si>
  <si>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</si>
  <si>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</si>
  <si>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</si>
  <si>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</si>
  <si>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</si>
  <si>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</si>
  <si>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</si>
  <si>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</si>
  <si>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</si>
  <si>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</si>
  <si>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</si>
  <si>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</si>
  <si>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</si>
  <si>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</si>
  <si>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</si>
  <si>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</si>
  <si>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</si>
  <si>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</si>
  <si>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</si>
  <si>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</si>
  <si>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</si>
  <si>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</si>
  <si>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</si>
  <si>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</si>
  <si>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</si>
  <si>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</si>
  <si>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</si>
  <si>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</si>
  <si>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</si>
  <si>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</si>
  <si>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</si>
  <si>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</si>
  <si>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</si>
  <si>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</si>
  <si>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</si>
  <si>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</si>
  <si>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</si>
  <si>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</si>
  <si>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</si>
  <si>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</si>
  <si>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</si>
  <si>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</si>
  <si>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</si>
  <si>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</si>
  <si>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</si>
  <si>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</si>
  <si>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</si>
  <si>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</si>
  <si>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</si>
  <si>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</si>
  <si>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</si>
  <si>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</si>
  <si>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</si>
  <si>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</si>
  <si>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</si>
  <si>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</si>
  <si>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</si>
  <si>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</si>
  <si>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</si>
  <si>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</si>
  <si>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</si>
  <si>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</si>
  <si>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</si>
  <si>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</si>
  <si>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</si>
  <si>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</si>
  <si>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</si>
  <si>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</si>
  <si>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</si>
  <si>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</si>
  <si>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</si>
  <si>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</si>
  <si>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</si>
  <si>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</si>
  <si>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</si>
  <si>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</si>
  <si>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</si>
  <si>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</si>
  <si>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</si>
  <si>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</si>
  <si>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</si>
  <si>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</si>
  <si>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</si>
  <si>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</si>
  <si>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</si>
  <si>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</si>
  <si>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</si>
  <si>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</si>
  <si>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</si>
  <si>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</si>
  <si>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</si>
  <si>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</si>
  <si>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</si>
  <si>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</si>
  <si>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</si>
  <si>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</si>
  <si>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</si>
  <si>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</si>
  <si>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</si>
  <si>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</si>
  <si>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</si>
  <si>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</si>
  <si>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</si>
  <si>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</si>
  <si>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</si>
  <si>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</si>
  <si>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</si>
  <si>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</si>
  <si>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</si>
  <si>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</si>
  <si>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</si>
  <si>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</si>
  <si>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</si>
  <si>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</si>
  <si>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</si>
  <si>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</si>
  <si>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</si>
  <si>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</si>
  <si>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</si>
  <si>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</si>
  <si>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</si>
  <si>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</si>
  <si>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</si>
  <si>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</si>
  <si>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</si>
  <si>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</si>
  <si>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</si>
  <si>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</si>
  <si>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</si>
  <si>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</si>
  <si>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</si>
  <si>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</si>
  <si>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</si>
  <si>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</si>
  <si>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</si>
  <si>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</si>
  <si>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</si>
  <si>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</si>
  <si>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</si>
  <si>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</si>
  <si>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</si>
  <si>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</si>
  <si>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</si>
  <si>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</si>
  <si>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</si>
  <si>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</si>
  <si>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</si>
  <si>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</si>
  <si>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</si>
  <si>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</si>
  <si>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</si>
  <si>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</si>
  <si>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</si>
  <si>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</si>
  <si>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</si>
  <si>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</si>
  <si>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</si>
  <si>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</si>
  <si>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</si>
  <si>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</si>
  <si>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</si>
  <si>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</si>
  <si>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</si>
  <si>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</si>
  <si>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</si>
  <si>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</si>
  <si>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</si>
  <si>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</si>
  <si>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</si>
  <si>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</si>
  <si>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</si>
  <si>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</si>
  <si>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</si>
  <si>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</si>
  <si>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</si>
  <si>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</si>
  <si>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</si>
  <si>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</si>
  <si>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</si>
  <si>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</si>
  <si>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</si>
  <si>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</si>
  <si>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</si>
  <si>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</si>
  <si>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</si>
  <si>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</si>
  <si>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</si>
  <si>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</si>
  <si>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</si>
  <si>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</si>
  <si>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</si>
  <si>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</si>
  <si>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</si>
  <si>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</si>
  <si>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</si>
  <si>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</si>
  <si>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</si>
  <si>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</si>
  <si>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</si>
  <si>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</si>
  <si>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</si>
  <si>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</si>
  <si>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</si>
  <si>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</si>
  <si>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</si>
  <si>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</si>
  <si>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</si>
  <si>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</si>
  <si>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</si>
  <si>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</si>
  <si>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</si>
  <si>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</si>
  <si>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</si>
  <si>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</si>
  <si>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</si>
  <si>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</si>
  <si>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</si>
  <si>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</si>
  <si>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</si>
  <si>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</si>
  <si>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</si>
  <si>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</si>
  <si>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</si>
  <si>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</si>
  <si>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</si>
  <si>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</si>
  <si>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</si>
  <si>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</si>
  <si>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</si>
  <si>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</si>
  <si>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</si>
  <si>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</si>
  <si>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</si>
  <si>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</si>
  <si>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</si>
  <si>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</si>
  <si>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</si>
  <si>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</si>
  <si>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</si>
  <si>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</si>
  <si>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</si>
  <si>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</si>
  <si>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</si>
  <si>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</si>
  <si>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</si>
  <si>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</si>
  <si>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</si>
  <si>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</si>
  <si>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</si>
  <si>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</si>
  <si>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</si>
  <si>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</si>
  <si>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</si>
  <si>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</si>
  <si>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</si>
  <si>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</si>
  <si>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</si>
  <si>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</si>
  <si>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</si>
  <si>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</si>
  <si>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</si>
  <si>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</si>
  <si>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</si>
  <si>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</si>
  <si>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</si>
  <si>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</si>
  <si>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</si>
  <si>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</si>
  <si>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</si>
  <si>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</si>
  <si>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</si>
  <si>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</si>
  <si>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</si>
  <si>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</si>
  <si>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</si>
  <si>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</si>
  <si>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</si>
  <si>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</si>
  <si>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</si>
  <si>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</si>
  <si>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</si>
  <si>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</si>
  <si>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</si>
  <si>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</si>
  <si>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</si>
  <si>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</si>
  <si>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</si>
  <si>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</si>
  <si>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</si>
  <si>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</si>
  <si>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</si>
  <si>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</si>
  <si>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</si>
  <si>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</si>
  <si>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</si>
  <si>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</si>
  <si>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</si>
  <si>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</si>
  <si>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</si>
  <si>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</si>
  <si>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</si>
  <si>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</si>
  <si>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</si>
  <si>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</si>
  <si>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</si>
  <si>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</si>
  <si>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</si>
  <si>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</si>
  <si>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</si>
  <si>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</si>
  <si>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</si>
  <si>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</si>
  <si>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</si>
  <si>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</si>
  <si>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</si>
  <si>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</si>
  <si>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</si>
  <si>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</si>
  <si>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</si>
  <si>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</si>
  <si>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</si>
  <si>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</si>
  <si>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</si>
  <si>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</si>
  <si>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</si>
  <si>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</si>
  <si>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</si>
  <si>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</si>
  <si>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</si>
  <si>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</si>
  <si>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</si>
  <si>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</si>
  <si>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</si>
  <si>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</si>
  <si>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</si>
  <si>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</si>
  <si>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</si>
  <si>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</si>
  <si>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</si>
  <si>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</si>
  <si>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</si>
  <si>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</si>
  <si>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</si>
  <si>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</si>
  <si>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</si>
  <si>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</si>
  <si>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</si>
  <si>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</si>
  <si>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</si>
  <si>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</si>
  <si>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</si>
  <si>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</si>
  <si>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</si>
  <si>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</si>
  <si>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</si>
  <si>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</si>
  <si>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</si>
  <si>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</si>
  <si>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</si>
  <si>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</si>
  <si>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</si>
  <si>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</si>
  <si>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</si>
  <si>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</si>
  <si>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</si>
  <si>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</si>
  <si>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</si>
  <si>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</si>
  <si>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</si>
  <si>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</si>
  <si>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</si>
  <si>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</si>
  <si>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</si>
  <si>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</si>
  <si>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</si>
  <si>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</si>
  <si>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</si>
  <si>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</si>
  <si>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</si>
  <si>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</si>
  <si>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</si>
  <si>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</si>
  <si>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</si>
  <si>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</si>
  <si>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</si>
  <si>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</si>
  <si>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</si>
  <si>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</si>
  <si>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</si>
  <si>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</si>
  <si>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</si>
  <si>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</si>
  <si>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</si>
  <si>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</si>
  <si>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</si>
  <si>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</si>
  <si>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</si>
  <si>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</si>
  <si>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</si>
  <si>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</si>
  <si>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</si>
  <si>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</si>
  <si>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</si>
  <si>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</si>
  <si>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</si>
  <si>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</si>
  <si>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</si>
  <si>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</si>
  <si>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</si>
  <si>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</si>
  <si>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</si>
  <si>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</si>
  <si>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</si>
  <si>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</si>
  <si>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</si>
  <si>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</si>
  <si>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</si>
  <si>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</si>
  <si>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</si>
  <si>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</si>
  <si>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</si>
  <si>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</si>
  <si>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</si>
  <si>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</si>
  <si>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</si>
  <si>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</si>
  <si>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</si>
  <si>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</si>
  <si>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</si>
  <si>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</si>
  <si>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</si>
  <si>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</si>
  <si>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</si>
  <si>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</si>
  <si>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</si>
  <si>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</si>
  <si>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</si>
  <si>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</si>
  <si>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</si>
  <si>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</si>
  <si>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</si>
  <si>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</si>
  <si>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</si>
  <si>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</si>
  <si>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</si>
  <si>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</si>
  <si>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</si>
  <si>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</si>
  <si>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</si>
  <si>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</si>
  <si>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</si>
  <si>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</si>
  <si>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</si>
  <si>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</si>
  <si>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</si>
  <si>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</si>
  <si>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</si>
  <si>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</si>
  <si>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</si>
  <si>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</si>
  <si>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</si>
  <si>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</si>
  <si>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</si>
  <si>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</si>
  <si>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</si>
  <si>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</si>
  <si>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</si>
  <si>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</si>
  <si>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</si>
  <si>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</si>
  <si>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</si>
  <si>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</si>
  <si>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</si>
  <si>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</si>
  <si>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</si>
  <si>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</si>
  <si>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</si>
  <si>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</si>
  <si>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</si>
  <si>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</si>
  <si>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</si>
  <si>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</si>
  <si>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</si>
  <si>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</si>
  <si>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</si>
  <si>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</si>
  <si>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</si>
  <si>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</si>
  <si>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</si>
  <si>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</si>
  <si>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</si>
  <si>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</si>
  <si>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</si>
  <si>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</si>
  <si>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</si>
  <si>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</si>
  <si>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</si>
  <si>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</si>
  <si>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</si>
  <si>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</si>
  <si>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</si>
  <si>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</si>
  <si>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</si>
  <si>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</si>
  <si>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</si>
  <si>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</si>
  <si>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</si>
  <si>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</si>
  <si>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</si>
  <si>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</si>
  <si>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</si>
  <si>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</si>
  <si>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</si>
  <si>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</si>
  <si>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</si>
  <si>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</si>
  <si>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</si>
  <si>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</si>
  <si>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</si>
  <si>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</si>
  <si>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</si>
  <si>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</si>
  <si>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</si>
  <si>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</si>
  <si>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</si>
  <si>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</si>
  <si>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</si>
  <si>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</si>
  <si>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</si>
  <si>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</si>
  <si>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</si>
  <si>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</si>
  <si>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</si>
  <si>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</si>
  <si>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</si>
  <si>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</si>
  <si>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</si>
  <si>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</si>
  <si>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</si>
  <si>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</si>
  <si>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</si>
  <si>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</si>
  <si>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</si>
  <si>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</si>
  <si>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</si>
  <si>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</si>
  <si>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</si>
  <si>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</si>
  <si>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</si>
  <si>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</si>
  <si>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</si>
  <si>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</si>
  <si>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</si>
  <si>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</si>
  <si>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</si>
  <si>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</si>
  <si>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</si>
  <si>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</si>
  <si>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</si>
  <si>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</si>
  <si>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</si>
  <si>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</si>
  <si>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</si>
  <si>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</si>
  <si>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</si>
  <si>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</si>
  <si>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</si>
  <si>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</si>
  <si>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</si>
  <si>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</si>
  <si>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</si>
  <si>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</si>
  <si>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</si>
  <si>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</si>
  <si>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</si>
  <si>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</si>
  <si>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</si>
  <si>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</si>
  <si>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</si>
  <si>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</si>
  <si>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</si>
  <si>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</si>
  <si>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</si>
  <si>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</si>
  <si>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</si>
  <si>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</si>
  <si>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</si>
  <si>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</si>
  <si>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</si>
  <si>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</si>
  <si>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</si>
  <si>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</si>
  <si>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</si>
  <si>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</si>
  <si>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</si>
  <si>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</si>
  <si>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</si>
  <si>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</si>
  <si>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</si>
  <si>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</si>
  <si>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</si>
  <si>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</si>
  <si>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</si>
  <si>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</si>
  <si>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</si>
  <si>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</si>
  <si>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</si>
  <si>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</si>
  <si>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</si>
  <si>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</si>
  <si>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</si>
  <si>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</si>
  <si>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</si>
  <si>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</si>
  <si>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</si>
  <si>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</si>
  <si>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</si>
  <si>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</si>
  <si>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</si>
  <si>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</si>
  <si>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</si>
  <si>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</si>
  <si>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</si>
  <si>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</si>
  <si>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</si>
  <si>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</si>
  <si>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</si>
  <si>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</si>
  <si>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</si>
  <si>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</si>
  <si>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</si>
  <si>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</si>
  <si>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</si>
  <si>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</si>
  <si>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</si>
  <si>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</si>
  <si>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</si>
  <si>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</si>
  <si>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</si>
  <si>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</si>
  <si>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</si>
  <si>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</si>
  <si>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</si>
  <si>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</si>
  <si>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</si>
  <si>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</si>
  <si>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</si>
  <si>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</si>
  <si>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</si>
  <si>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</si>
  <si>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</si>
  <si>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</si>
  <si>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</si>
  <si>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</si>
  <si>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</si>
  <si>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</si>
  <si>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</si>
  <si>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</si>
  <si>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</si>
  <si>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</si>
  <si>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</si>
  <si>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</si>
  <si>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</si>
  <si>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</si>
  <si>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</si>
  <si>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</si>
  <si>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</si>
  <si>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</si>
  <si>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</si>
  <si>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</si>
  <si>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</si>
  <si>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</si>
  <si>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</si>
  <si>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</si>
  <si>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</si>
  <si>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</si>
  <si>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</si>
  <si>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</si>
  <si>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</si>
  <si>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</si>
  <si>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</si>
  <si>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</si>
  <si>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</si>
  <si>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</si>
  <si>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</si>
  <si>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</si>
  <si>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</si>
  <si>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</si>
  <si>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</si>
  <si>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</si>
  <si>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</si>
  <si>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</si>
  <si>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</si>
  <si>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</si>
  <si>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</si>
  <si>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</si>
  <si>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</si>
  <si>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</si>
  <si>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</si>
  <si>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</si>
  <si>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</si>
  <si>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</si>
  <si>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</si>
  <si>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</si>
  <si>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</si>
  <si>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</si>
  <si>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</si>
  <si>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</si>
  <si>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</si>
  <si>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</si>
  <si>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</si>
  <si>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</si>
  <si>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</si>
  <si>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</si>
  <si>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</si>
  <si>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</si>
  <si>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</si>
  <si>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</si>
  <si>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</si>
  <si>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</si>
  <si>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</si>
  <si>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</si>
  <si>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</si>
  <si>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</si>
  <si>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</si>
  <si>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</si>
  <si>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</si>
  <si>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</si>
  <si>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</si>
  <si>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</si>
  <si>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</si>
  <si>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</si>
  <si>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</si>
  <si>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</si>
  <si>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</si>
  <si>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</si>
  <si>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</si>
  <si>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</si>
  <si>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</si>
  <si>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</si>
  <si>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</si>
  <si>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</si>
  <si>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</si>
  <si>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</si>
  <si>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</si>
  <si>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</si>
  <si>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</si>
  <si>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</si>
  <si>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</si>
  <si>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</si>
  <si>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</si>
  <si>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</si>
  <si>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</si>
  <si>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</si>
  <si>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</si>
  <si>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</si>
  <si>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</si>
  <si>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</si>
  <si>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</si>
  <si>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</si>
  <si>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</si>
  <si>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</si>
  <si>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</si>
  <si>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</si>
  <si>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</si>
  <si>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</si>
  <si>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</si>
  <si>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</si>
  <si>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</si>
  <si>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</si>
  <si>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</si>
  <si>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</si>
  <si>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</si>
  <si>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</si>
  <si>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</si>
  <si>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</si>
  <si>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</si>
  <si>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</si>
  <si>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</si>
  <si>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</si>
  <si>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</si>
  <si>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</si>
  <si>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</si>
  <si>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</si>
  <si>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</si>
  <si>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</si>
  <si>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</si>
  <si>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</si>
  <si>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</si>
  <si>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</si>
  <si>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</si>
  <si>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</si>
  <si>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</si>
  <si>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</si>
  <si>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</si>
  <si>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</si>
  <si>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</si>
  <si>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</si>
  <si>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</si>
  <si>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</si>
  <si>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</si>
  <si>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</si>
  <si>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</si>
  <si>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</si>
  <si>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</si>
  <si>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</si>
  <si>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</si>
  <si>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</si>
  <si>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</si>
  <si>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</si>
  <si>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</si>
  <si>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</si>
  <si>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</si>
  <si>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</si>
  <si>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</si>
  <si>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</si>
  <si>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</si>
  <si>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</si>
  <si>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</si>
  <si>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</si>
  <si>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</si>
  <si>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</si>
  <si>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</si>
  <si>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</si>
  <si>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</si>
  <si>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</si>
  <si>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</si>
  <si>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</si>
  <si>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</si>
  <si>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</si>
  <si>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</si>
  <si>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</si>
  <si>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</si>
  <si>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</si>
  <si>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</si>
  <si>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</si>
  <si>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</si>
  <si>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</si>
  <si>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</si>
  <si>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</si>
  <si>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</si>
  <si>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</si>
  <si>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</si>
  <si>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</si>
  <si>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</si>
  <si>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</si>
  <si>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</si>
  <si>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</si>
  <si>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</si>
  <si>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</si>
  <si>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</si>
  <si>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</si>
  <si>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</si>
  <si>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</si>
  <si>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</si>
  <si>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</si>
  <si>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</si>
  <si>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</si>
  <si>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</si>
  <si>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</si>
  <si>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</si>
  <si>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</si>
  <si>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</si>
  <si>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</si>
  <si>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</si>
  <si>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</si>
  <si>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</si>
  <si>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</si>
  <si>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</si>
  <si>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</si>
  <si>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</si>
  <si>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</si>
  <si>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</si>
  <si>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</si>
  <si>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</si>
  <si>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</si>
  <si>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</si>
  <si>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</si>
  <si>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</si>
  <si>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</si>
  <si>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</si>
  <si>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</si>
  <si>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</si>
  <si>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</si>
  <si>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</si>
  <si>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</si>
  <si>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</si>
  <si>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</si>
  <si>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</si>
  <si>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</si>
  <si>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</si>
  <si>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</si>
  <si>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</si>
  <si>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</si>
  <si>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</si>
  <si>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</si>
  <si>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</si>
  <si>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</si>
  <si>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</si>
  <si>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</si>
  <si>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</si>
  <si>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</si>
  <si>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</si>
  <si>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</si>
  <si>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</si>
  <si>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</si>
  <si>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</si>
  <si>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</si>
  <si>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</si>
  <si>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</si>
  <si>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</si>
  <si>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</si>
  <si>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</si>
  <si>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</si>
  <si>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</si>
  <si>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</si>
  <si>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</si>
  <si>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</si>
  <si>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</si>
  <si>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</si>
  <si>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</si>
  <si>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</si>
  <si>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</si>
  <si>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</si>
  <si>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</si>
  <si>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</si>
  <si>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</si>
  <si>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</si>
  <si>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</si>
  <si>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</si>
  <si>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</si>
  <si>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</si>
  <si>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</si>
  <si>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</si>
  <si>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</si>
  <si>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</si>
  <si>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</si>
  <si>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</si>
  <si>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</si>
  <si>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</si>
  <si>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</si>
  <si>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</si>
  <si>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</si>
  <si>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</si>
  <si>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</si>
  <si>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</si>
  <si>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</si>
  <si>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</si>
  <si>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</si>
  <si>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</si>
  <si>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</si>
  <si>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</si>
  <si>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</si>
  <si>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</si>
  <si>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</si>
  <si>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</si>
  <si>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</si>
  <si>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</si>
  <si>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</si>
  <si>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</si>
  <si>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</si>
  <si>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</si>
  <si>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</si>
  <si>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</si>
  <si>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</si>
  <si>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</si>
  <si>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</si>
  <si>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</si>
  <si>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</si>
  <si>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</si>
  <si>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</si>
  <si>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</si>
  <si>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</si>
  <si>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</si>
  <si>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</si>
  <si>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</si>
  <si>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</si>
  <si>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</si>
  <si>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</si>
  <si>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</si>
  <si>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</si>
  <si>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</si>
  <si>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</si>
  <si>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</si>
  <si>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</si>
  <si>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</si>
  <si>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</si>
  <si>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</si>
  <si>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</si>
  <si>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</si>
  <si>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</si>
  <si>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</si>
  <si>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</si>
  <si>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</si>
  <si>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</si>
  <si>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</si>
  <si>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</si>
  <si>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</si>
  <si>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</si>
  <si>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</si>
  <si>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</si>
  <si>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</si>
  <si>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</si>
  <si>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</si>
  <si>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</si>
  <si>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</si>
  <si>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</si>
  <si>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</si>
  <si>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</si>
  <si>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</si>
  <si>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</si>
  <si>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</si>
  <si>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</si>
  <si>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</si>
  <si>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</si>
  <si>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</si>
  <si>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</si>
  <si>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</si>
  <si>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</si>
  <si>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</si>
  <si>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</si>
  <si>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</si>
  <si>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</si>
  <si>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</si>
  <si>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</si>
  <si>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</si>
  <si>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</si>
  <si>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</si>
  <si>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</si>
  <si>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</si>
  <si>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</si>
  <si>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</si>
  <si>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</si>
  <si>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</si>
  <si>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</si>
  <si>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</si>
  <si>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</si>
  <si>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</si>
  <si>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</si>
  <si>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</si>
  <si>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</si>
  <si>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</si>
  <si>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</si>
  <si>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</si>
  <si>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</si>
  <si>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</si>
  <si>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</si>
  <si>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</si>
  <si>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</si>
  <si>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</si>
  <si>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</si>
  <si>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</si>
  <si>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</si>
  <si>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</si>
  <si>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</si>
  <si>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</si>
  <si>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</si>
  <si>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</si>
  <si>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</si>
  <si>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</si>
  <si>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</si>
  <si>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</si>
  <si>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</si>
  <si>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</si>
  <si>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</si>
  <si>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</si>
  <si>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</si>
  <si>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</si>
  <si>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</si>
  <si>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</si>
  <si>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</si>
  <si>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</si>
  <si>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</si>
  <si>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</si>
  <si>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</si>
  <si>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</si>
  <si>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</si>
  <si>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</si>
  <si>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</si>
  <si>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</si>
  <si>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</si>
  <si>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</si>
  <si>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</si>
  <si>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</si>
  <si>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</si>
  <si>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</si>
  <si>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</si>
  <si>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</si>
  <si>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</si>
  <si>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</si>
  <si>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</si>
  <si>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</si>
  <si>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</si>
  <si>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</si>
  <si>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</si>
  <si>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</si>
  <si>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</si>
  <si>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</si>
  <si>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</si>
  <si>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</si>
  <si>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</si>
  <si>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</si>
  <si>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</si>
  <si>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</si>
  <si>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</si>
  <si>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</si>
  <si>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</si>
  <si>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</si>
  <si>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</si>
  <si>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</si>
  <si>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</si>
  <si>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</si>
  <si>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</si>
  <si>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</si>
  <si>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</si>
  <si>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</si>
  <si>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</si>
  <si>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</si>
  <si>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</si>
  <si>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</si>
  <si>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</si>
  <si>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</si>
  <si>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</si>
  <si>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</si>
  <si>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</si>
  <si>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</si>
  <si>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</si>
  <si>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</si>
  <si>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</si>
  <si>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</si>
  <si>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</si>
  <si>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</si>
  <si>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</si>
  <si>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</si>
  <si>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</si>
  <si>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</si>
  <si>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</si>
  <si>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</si>
  <si>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</si>
  <si>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</si>
  <si>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</si>
  <si>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</si>
  <si>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</si>
  <si>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</si>
  <si>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</si>
  <si>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</si>
  <si>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</si>
  <si>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</si>
  <si>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</si>
  <si>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</si>
  <si>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</si>
  <si>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</si>
  <si>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</si>
  <si>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</si>
  <si>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</si>
  <si>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</si>
  <si>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</si>
  <si>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</si>
  <si>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</si>
  <si>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</si>
  <si>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</si>
  <si>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</si>
  <si>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</si>
  <si>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</si>
  <si>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</si>
  <si>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</si>
  <si>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</si>
  <si>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</si>
  <si>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</si>
  <si>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</si>
  <si>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</si>
  <si>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</si>
  <si>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</si>
  <si>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</si>
  <si>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</si>
  <si>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</si>
  <si>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</si>
  <si>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</si>
  <si>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</si>
  <si>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</si>
  <si>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</si>
  <si>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</si>
  <si>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</si>
  <si>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</si>
  <si>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</si>
  <si>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</si>
  <si>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</si>
  <si>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</si>
  <si>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</si>
  <si>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</si>
  <si>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</si>
  <si>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</si>
  <si>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</si>
  <si>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</si>
  <si>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</si>
  <si>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</si>
  <si>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</si>
  <si>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</si>
  <si>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</si>
  <si>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</si>
  <si>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</si>
  <si>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</si>
  <si>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</si>
  <si>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</si>
  <si>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</si>
  <si>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</si>
  <si>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</si>
  <si>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</si>
  <si>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</si>
  <si>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</si>
  <si>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</si>
  <si>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</si>
  <si>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</si>
  <si>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</si>
  <si>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</si>
  <si>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</si>
  <si>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</si>
  <si>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</si>
  <si>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</si>
  <si>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</si>
  <si>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</si>
  <si>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</si>
  <si>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</si>
  <si>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</si>
  <si>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</si>
  <si>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</si>
  <si>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</si>
  <si>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</si>
  <si>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</si>
  <si>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</si>
  <si>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</si>
  <si>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</si>
  <si>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</si>
  <si>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</si>
  <si>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</si>
  <si>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</si>
  <si>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</si>
  <si>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</si>
  <si>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</si>
  <si>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</si>
  <si>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</si>
  <si>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</si>
  <si>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</si>
  <si>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</si>
  <si>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</si>
  <si>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</si>
  <si>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</si>
  <si>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</si>
  <si>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</si>
  <si>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</si>
  <si>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</si>
  <si>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</si>
  <si>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</si>
  <si>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</si>
  <si>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</si>
  <si>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</si>
  <si>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</si>
  <si>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</si>
  <si>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</si>
  <si>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</si>
  <si>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</si>
  <si>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</si>
  <si>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</si>
  <si>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</si>
  <si>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</si>
  <si>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</si>
  <si>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</si>
  <si>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</si>
  <si>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</si>
  <si>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</si>
  <si>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</si>
  <si>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</si>
  <si>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</si>
  <si>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</si>
  <si>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</si>
  <si>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</si>
  <si>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</si>
  <si>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</si>
  <si>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</si>
  <si>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</si>
  <si>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</si>
  <si>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</si>
  <si>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</si>
  <si>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</si>
  <si>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</si>
  <si>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</si>
  <si>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</si>
  <si>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</si>
  <si>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</si>
  <si>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</si>
  <si>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</si>
  <si>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</si>
  <si>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</si>
  <si>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</si>
  <si>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</si>
  <si>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</si>
  <si>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</si>
  <si>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</si>
  <si>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</si>
  <si>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</si>
  <si>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</si>
  <si>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</si>
  <si>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</si>
  <si>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</si>
  <si>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</si>
  <si>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</si>
  <si>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</si>
  <si>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</si>
  <si>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</si>
  <si>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</si>
  <si>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</si>
  <si>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</si>
  <si>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</si>
  <si>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</si>
  <si>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</si>
  <si>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</si>
  <si>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</si>
  <si>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</si>
  <si>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</si>
  <si>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</si>
  <si>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</si>
  <si>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</si>
  <si>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</si>
  <si>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</si>
  <si>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</si>
  <si>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</si>
  <si>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</si>
  <si>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</si>
  <si>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</si>
  <si>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</si>
  <si>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</si>
  <si>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</si>
  <si>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</si>
  <si>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</si>
  <si>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</si>
  <si>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</si>
  <si>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</si>
  <si>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</si>
  <si>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</si>
  <si>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</si>
  <si>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</si>
  <si>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</si>
  <si>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</si>
  <si>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</si>
  <si>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</si>
  <si>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</si>
  <si>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</si>
  <si>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</si>
  <si>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</si>
  <si>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</si>
  <si>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</si>
  <si>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</si>
  <si>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</si>
  <si>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</si>
  <si>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</si>
  <si>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</si>
  <si>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</si>
  <si>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</si>
  <si>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</si>
  <si>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</si>
  <si>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</si>
  <si>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</si>
  <si>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</si>
  <si>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</si>
  <si>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</si>
  <si>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</si>
  <si>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</si>
  <si>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</si>
  <si>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</si>
  <si>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</si>
  <si>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</si>
  <si>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</si>
  <si>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</si>
  <si>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</si>
  <si>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</si>
  <si>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</si>
  <si>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</si>
  <si>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</si>
  <si>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</si>
  <si>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</si>
  <si>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</si>
  <si>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</si>
  <si>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</si>
  <si>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</si>
  <si>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</si>
  <si>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</si>
  <si>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</si>
  <si>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</si>
  <si>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</si>
  <si>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</si>
  <si>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</si>
  <si>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</si>
  <si>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</si>
  <si>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</si>
  <si>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</si>
  <si>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</si>
  <si>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</si>
  <si>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</si>
  <si>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</si>
  <si>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</si>
  <si>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</si>
  <si>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</si>
  <si>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</si>
  <si>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</si>
  <si>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</si>
  <si>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</si>
  <si>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</si>
  <si>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</si>
  <si>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</si>
  <si>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</si>
  <si>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</si>
  <si>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</si>
  <si>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</si>
  <si>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</si>
  <si>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</si>
  <si>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</si>
  <si>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</si>
  <si>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</si>
  <si>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</si>
  <si>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</si>
  <si>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</si>
  <si>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</si>
  <si>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</si>
  <si>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</si>
  <si>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</si>
  <si>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</si>
  <si>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</si>
  <si>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</si>
  <si>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</si>
  <si>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</si>
  <si>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</si>
  <si>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</si>
  <si>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</si>
  <si>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</si>
  <si>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</si>
  <si>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</si>
  <si>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</si>
  <si>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</si>
  <si>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</si>
  <si>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</si>
  <si>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</si>
  <si>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</si>
  <si>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</si>
  <si>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</si>
  <si>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</si>
  <si>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</si>
  <si>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</si>
  <si>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</si>
  <si>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</si>
  <si>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</si>
  <si>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</si>
  <si>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</si>
  <si>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</si>
  <si>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</si>
  <si>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</si>
  <si>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</si>
  <si>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</si>
  <si>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</si>
  <si>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</si>
  <si>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</si>
  <si>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</si>
  <si>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</si>
  <si>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</si>
  <si>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</si>
  <si>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</si>
  <si>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</si>
  <si>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</si>
  <si>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</si>
  <si>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</si>
  <si>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</si>
  <si>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</si>
  <si>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</si>
  <si>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</si>
  <si>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</si>
  <si>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</si>
  <si>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</si>
  <si>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</si>
  <si>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</si>
  <si>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</si>
  <si>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</si>
  <si>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</si>
  <si>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</si>
  <si>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</si>
  <si>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</si>
  <si>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</si>
  <si>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</si>
  <si>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</si>
  <si>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</si>
  <si>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</si>
  <si>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</si>
  <si>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</si>
  <si>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</si>
  <si>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</si>
  <si>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</si>
  <si>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</si>
  <si>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</si>
  <si>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</si>
  <si>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</si>
  <si>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</si>
  <si>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</si>
  <si>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</si>
  <si>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</si>
  <si>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</si>
  <si>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</si>
  <si>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</si>
  <si>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</si>
  <si>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</si>
  <si>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</si>
  <si>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</si>
  <si>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</si>
  <si>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</si>
  <si>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</si>
  <si>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</si>
  <si>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</si>
  <si>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</si>
  <si>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</si>
  <si>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</si>
  <si>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</si>
  <si>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</si>
  <si>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</si>
  <si>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</si>
  <si>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</si>
  <si>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</si>
  <si>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</si>
  <si>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</si>
  <si>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</si>
  <si>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</si>
  <si>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</si>
  <si>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</si>
  <si>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</si>
  <si>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</si>
  <si>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</si>
  <si>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</si>
  <si>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</si>
  <si>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</si>
  <si>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</si>
  <si>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</si>
  <si>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</si>
  <si>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</si>
  <si>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</si>
  <si>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</si>
  <si>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</si>
  <si>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</si>
  <si>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</si>
  <si>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</si>
  <si>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</si>
  <si>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</si>
  <si>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</si>
  <si>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</si>
  <si>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</si>
  <si>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</si>
  <si>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</si>
  <si>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</si>
  <si>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</si>
  <si>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</si>
  <si>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</si>
  <si>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</si>
  <si>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</si>
  <si>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</si>
  <si>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</si>
  <si>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</si>
  <si>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</si>
  <si>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</si>
  <si>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</si>
  <si>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</si>
  <si>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</si>
  <si>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</si>
  <si>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</si>
  <si>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</si>
  <si>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</si>
  <si>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</si>
  <si>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</si>
  <si>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</si>
  <si>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</si>
  <si>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</si>
  <si>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</si>
  <si>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</si>
  <si>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</si>
  <si>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</si>
  <si>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</si>
  <si>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</si>
  <si>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</si>
  <si>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</si>
  <si>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</si>
  <si>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</si>
  <si>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</si>
  <si>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</si>
  <si>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</si>
  <si>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</si>
  <si>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</si>
  <si>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</si>
  <si>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</si>
  <si>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</si>
  <si>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</si>
  <si>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</si>
  <si>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</si>
  <si>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</si>
  <si>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</si>
  <si>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</si>
  <si>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</si>
  <si>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</si>
  <si>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</si>
  <si>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</si>
  <si>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</si>
  <si>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</si>
  <si>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</si>
  <si>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</si>
  <si>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</si>
  <si>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</si>
  <si>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</si>
  <si>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</si>
  <si>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</si>
  <si>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</si>
  <si>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</si>
  <si>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</si>
  <si>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</si>
  <si>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</si>
  <si>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</si>
  <si>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</si>
  <si>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</si>
  <si>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</si>
  <si>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</si>
  <si>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</si>
  <si>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</si>
  <si>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</si>
  <si>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</si>
  <si>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</si>
  <si>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</si>
  <si>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</si>
  <si>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</si>
  <si>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</si>
  <si>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</si>
  <si>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</si>
  <si>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</si>
  <si>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</si>
  <si>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</si>
  <si>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</si>
  <si>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</si>
  <si>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</si>
  <si>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</si>
  <si>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</si>
  <si>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</si>
  <si>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</si>
  <si>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</si>
  <si>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</si>
  <si>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</si>
  <si>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</si>
  <si>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</si>
  <si>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</si>
  <si>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</si>
  <si>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</si>
  <si>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</si>
  <si>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</si>
  <si>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</si>
  <si>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</si>
  <si>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</si>
  <si>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</si>
  <si>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</si>
  <si>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</si>
  <si>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</si>
  <si>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</si>
  <si>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</si>
  <si>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</si>
  <si>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</si>
  <si>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</si>
  <si>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</si>
  <si>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</si>
  <si>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</si>
  <si>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</si>
  <si>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</si>
  <si>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</si>
  <si>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</si>
  <si>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</si>
  <si>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</si>
  <si>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</si>
  <si>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</si>
  <si>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</si>
  <si>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</si>
  <si>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</si>
  <si>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</si>
  <si>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</si>
  <si>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</si>
  <si>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</si>
  <si>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</si>
  <si>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</si>
  <si>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</si>
  <si>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</si>
  <si>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</si>
  <si>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</si>
  <si>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</si>
  <si>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</si>
  <si>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</si>
  <si>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</si>
  <si>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</si>
  <si>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</si>
  <si>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</si>
  <si>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</si>
  <si>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</si>
  <si>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</si>
  <si>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</si>
  <si>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</si>
  <si>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</si>
  <si>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</si>
  <si>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</si>
  <si>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</si>
  <si>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</si>
  <si>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</si>
  <si>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</si>
  <si>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</si>
  <si>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</si>
  <si>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</si>
  <si>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</si>
  <si>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</si>
  <si>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</si>
  <si>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</si>
  <si>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</si>
  <si>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</si>
  <si>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</si>
  <si>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</si>
  <si>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</si>
  <si>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</si>
  <si>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</si>
  <si>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</si>
  <si>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</si>
  <si>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</si>
  <si>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</si>
  <si>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</si>
  <si>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</si>
  <si>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</si>
  <si>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</si>
  <si>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</si>
  <si>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</si>
  <si>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</si>
  <si>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</si>
  <si>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</si>
  <si>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</si>
  <si>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</si>
  <si>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</si>
  <si>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</si>
  <si>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</si>
  <si>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</si>
  <si>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</si>
  <si>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</si>
  <si>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</si>
  <si>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</si>
  <si>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</si>
  <si>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</si>
  <si>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</si>
  <si>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</si>
  <si>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</si>
  <si>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</si>
  <si>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</si>
  <si>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</si>
  <si>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</si>
  <si>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</si>
  <si>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</si>
  <si>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</si>
  <si>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</si>
  <si>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</si>
  <si>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</si>
  <si>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</si>
  <si>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</si>
  <si>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</si>
  <si>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</si>
  <si>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</si>
  <si>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</si>
  <si>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</si>
  <si>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</si>
  <si>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</si>
  <si>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</si>
  <si>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</si>
  <si>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</si>
  <si>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</si>
  <si>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</si>
  <si>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</si>
  <si>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</si>
  <si>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</si>
  <si>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</si>
  <si>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</si>
  <si>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Bead Electronics - a division of Bead Industries</t>
  </si>
  <si>
    <t>David Brenton</t>
  </si>
  <si>
    <t>dbrenton@beadindustries.com</t>
  </si>
  <si>
    <t>203-301-0270</t>
  </si>
  <si>
    <t>DBrenton@beadindustries.com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</si>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</sst>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77"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831" xr:uid="{AFB58128-651D-40F4-9063-B326B3A79973}"/>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renton@beadindustries.com" TargetMode="External"/><Relationship Id="rId1" Type="http://schemas.openxmlformats.org/officeDocument/2006/relationships/hyperlink" Target="mailto:dbrenton@bead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6.2">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c r="A12" s="394"/>
      <c r="B12" s="172" t="s">
        <v>7</v>
      </c>
      <c r="C12" s="173" t="s">
        <v>8</v>
      </c>
      <c r="D12" s="174" t="s">
        <v>9</v>
      </c>
      <c r="E12" s="173" t="s">
        <v>10</v>
      </c>
      <c r="F12" s="173" t="s">
        <v>11</v>
      </c>
      <c r="G12" s="24"/>
    </row>
    <row r="13" spans="1:7" ht="57">
      <c r="A13" s="394"/>
      <c r="B13" s="285">
        <v>1</v>
      </c>
      <c r="C13" s="223" t="s">
        <v>12</v>
      </c>
      <c r="D13" s="224">
        <v>44489</v>
      </c>
      <c r="E13" s="223" t="s">
        <v>12216</v>
      </c>
      <c r="F13" s="225" t="s">
        <v>12225</v>
      </c>
      <c r="G13" s="24"/>
    </row>
    <row r="14" spans="1:7" ht="57">
      <c r="A14" s="394"/>
      <c r="B14" s="222">
        <v>1.01</v>
      </c>
      <c r="C14" s="223" t="s">
        <v>12</v>
      </c>
      <c r="D14" s="224">
        <v>44523</v>
      </c>
      <c r="E14" s="223" t="s">
        <v>12217</v>
      </c>
      <c r="F14" s="225" t="s">
        <v>12225</v>
      </c>
      <c r="G14" s="24"/>
    </row>
    <row r="15" spans="1:7" ht="57">
      <c r="A15" s="394"/>
      <c r="B15" s="222">
        <v>1.02</v>
      </c>
      <c r="C15" s="223" t="s">
        <v>12</v>
      </c>
      <c r="D15" s="224">
        <v>44553</v>
      </c>
      <c r="E15" s="223" t="s">
        <v>12218</v>
      </c>
      <c r="F15" s="225" t="s">
        <v>12225</v>
      </c>
      <c r="G15" s="24"/>
    </row>
    <row r="16" spans="1:7" ht="91.2">
      <c r="A16" s="394"/>
      <c r="B16" s="222">
        <v>1.1000000000000001</v>
      </c>
      <c r="C16" s="223" t="s">
        <v>12</v>
      </c>
      <c r="D16" s="224">
        <v>44848</v>
      </c>
      <c r="E16" s="223" t="s">
        <v>12219</v>
      </c>
      <c r="F16" s="225" t="s">
        <v>12226</v>
      </c>
      <c r="G16" s="24"/>
    </row>
    <row r="17" spans="1:7" ht="45.6">
      <c r="A17" s="394"/>
      <c r="B17" s="222">
        <v>1.1100000000000001</v>
      </c>
      <c r="C17" s="223" t="s">
        <v>12</v>
      </c>
      <c r="D17" s="224">
        <v>44869</v>
      </c>
      <c r="E17" s="223" t="s">
        <v>12220</v>
      </c>
      <c r="F17" s="225" t="s">
        <v>12226</v>
      </c>
      <c r="G17" s="24"/>
    </row>
    <row r="18" spans="1:7" ht="45.6">
      <c r="A18" s="394"/>
      <c r="B18" s="222">
        <v>1.2</v>
      </c>
      <c r="C18" s="223" t="s">
        <v>12</v>
      </c>
      <c r="D18" s="224">
        <v>45058</v>
      </c>
      <c r="E18" s="223" t="s">
        <v>12269</v>
      </c>
      <c r="F18" s="225" t="s">
        <v>12227</v>
      </c>
      <c r="G18" s="24"/>
    </row>
    <row r="19" spans="1:7" ht="57">
      <c r="A19" s="394"/>
      <c r="B19" s="222">
        <v>1.3</v>
      </c>
      <c r="C19" s="223" t="s">
        <v>12</v>
      </c>
      <c r="D19" s="224">
        <v>45408</v>
      </c>
      <c r="E19" s="286" t="s">
        <v>20008</v>
      </c>
      <c r="F19" s="225" t="s">
        <v>12270</v>
      </c>
      <c r="G19" s="24"/>
    </row>
    <row r="20" spans="1:7" ht="57">
      <c r="A20" s="394"/>
      <c r="B20" s="291" t="s">
        <v>18642</v>
      </c>
      <c r="C20" s="223" t="s">
        <v>12</v>
      </c>
      <c r="D20" s="224">
        <v>45772</v>
      </c>
      <c r="E20" s="286" t="s">
        <v>19186</v>
      </c>
      <c r="F20" s="225" t="s">
        <v>19309</v>
      </c>
      <c r="G20" s="24"/>
    </row>
    <row r="21" spans="1:7" ht="79.8">
      <c r="A21" s="394"/>
      <c r="B21" s="291" t="s">
        <v>20112</v>
      </c>
      <c r="C21" s="223" t="s">
        <v>12</v>
      </c>
      <c r="D21" s="384">
        <v>45947</v>
      </c>
      <c r="E21" s="385" t="s">
        <v>20116</v>
      </c>
      <c r="F21" s="225" t="s">
        <v>20111</v>
      </c>
      <c r="G21" s="24"/>
    </row>
    <row r="22" spans="1:7" ht="13.2" thickBot="1">
      <c r="A22" s="395"/>
      <c r="B22" s="399" t="str">
        <f ca="1">OFFSET(L!$C$1,MATCH("General"&amp;"Cpy",L!$A:$A,0)-1,SL,,)</f>
        <v>© 2025 Responsible Minerals Initiative. All rights reserved.</v>
      </c>
      <c r="C22" s="399"/>
      <c r="D22" s="399"/>
      <c r="E22" s="399"/>
      <c r="F22" s="399"/>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1674D69-CD5D-496D-ACBD-9F449895A163}"/>
    </customSheetView>
    <customSheetView guid="{4BDF1A28-30D5-449D-B20E-D6C97EF9FAE1}" showAutoFilter="1">
      <selection activeCell="C174" sqref="C174"/>
      <pageMargins left="0" right="0" top="0" bottom="0" header="0" footer="0"/>
      <pageSetup paperSize="9" orientation="portrait"/>
      <autoFilter ref="B1:N1" xr:uid="{4C0D8302-07BE-40F7-AD02-654FDD944BD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1AA0064-ED64-4B77-851A-1F8CFA3F2851}"/>
    </customSheetView>
    <customSheetView guid="{4BDF1A28-30D5-449D-B20E-D6C97EF9FAE1}" showAutoFilter="1">
      <selection activeCell="C1" sqref="C1:D65536"/>
      <pageMargins left="0" right="0" top="0" bottom="0" header="0" footer="0"/>
      <pageSetup orientation="portrait"/>
      <autoFilter ref="B1:C1" xr:uid="{6AF75FE7-827F-4BE6-8EF0-A354588D4BA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00"/>
      <c r="B1" s="401"/>
      <c r="C1" s="401"/>
      <c r="D1" s="402"/>
    </row>
    <row r="2" spans="1:8" ht="16.2">
      <c r="A2" s="175"/>
      <c r="B2" s="176" t="str">
        <f ca="1">OFFSET(L!$C$1,MATCH("Definitions"&amp;ADDRESS(ROW(),COLUMN(),4),L!$A:$A,0)-1,SL,,)</f>
        <v>ITEM</v>
      </c>
      <c r="C2" s="176" t="str">
        <f ca="1">OFFSET(L!$C$1,MATCH("Definitions"&amp;ADDRESS(ROW(),COLUMN(),4),L!$A:$A,0)-1,SL,,)</f>
        <v>DEFINITION</v>
      </c>
      <c r="D2" s="404"/>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6.2">
      <c r="A28" s="175"/>
      <c r="B28" s="406" t="str">
        <f ca="1">OFFSET(L!$C$1,MATCH("Definitions"&amp;ADDRESS(ROW(),COLUMN(),4),L!$A:$A,0)-1,SL,,)</f>
        <v>* Please consult the EMRT Completion Guide for additional details on primary and secondary sources for this mineral.</v>
      </c>
      <c r="C28" s="406"/>
      <c r="D28" s="404"/>
      <c r="E28" s="178"/>
    </row>
    <row r="29" spans="1:5" ht="16.2">
      <c r="A29" s="175"/>
      <c r="B29" s="403" t="str">
        <f ca="1">OFFSET(L!$C$1,MATCH("General"&amp;"Cpy",L!$A:$A,0)-1,SL,,)</f>
        <v>© 2025 Responsible Minerals Initiative. All rights reserved.</v>
      </c>
      <c r="C29" s="403"/>
      <c r="D29" s="404"/>
      <c r="E29" s="178"/>
    </row>
    <row r="30" spans="1:5" ht="13.2" thickBot="1">
      <c r="A30" s="179"/>
      <c r="B30" s="180"/>
      <c r="C30" s="180"/>
      <c r="D30" s="405"/>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82" zoomScaleNormal="100" workbookViewId="0">
      <selection activeCell="D125" sqref="D125:E125"/>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44"/>
      <c r="B1" s="445"/>
      <c r="C1" s="445"/>
      <c r="D1" s="445"/>
      <c r="E1" s="445"/>
      <c r="F1" s="445"/>
      <c r="G1" s="445"/>
      <c r="H1" s="445"/>
      <c r="I1" s="445"/>
      <c r="J1" s="445"/>
      <c r="K1" s="446"/>
      <c r="L1" s="101"/>
      <c r="P1" s="2"/>
      <c r="Q1" s="2"/>
      <c r="R1" s="2"/>
      <c r="S1" s="2"/>
      <c r="T1" s="2"/>
      <c r="U1" s="2"/>
      <c r="V1" s="2"/>
      <c r="W1" s="2"/>
      <c r="X1" s="2"/>
      <c r="Y1" s="2"/>
      <c r="Z1" s="2"/>
      <c r="AA1" s="2"/>
      <c r="AB1" s="2"/>
      <c r="AC1" s="2"/>
      <c r="AD1" s="2"/>
      <c r="AE1" s="2"/>
      <c r="AF1" s="2"/>
      <c r="AG1" s="2"/>
      <c r="AH1" s="2"/>
    </row>
    <row r="2" spans="1:34" ht="81.75" customHeight="1">
      <c r="A2" s="27"/>
      <c r="B2" s="281"/>
      <c r="C2" s="28"/>
      <c r="D2" s="447" t="str">
        <f ca="1">OFFSET(L!$C$1,MATCH("Declaration"&amp;ADDRESS(ROW(),COLUMN(),4),L!$A:$A,0)-1,SL,,)</f>
        <v>Extended Minerals Reporting Template (EMRT)</v>
      </c>
      <c r="E2" s="448"/>
      <c r="F2" s="448"/>
      <c r="G2" s="448"/>
      <c r="H2" s="448"/>
      <c r="I2" s="448"/>
      <c r="J2" s="44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8"/>
      <c r="F3" s="429"/>
      <c r="G3" s="429"/>
      <c r="H3" s="429"/>
      <c r="I3" s="429"/>
      <c r="J3" s="383" t="s">
        <v>20117</v>
      </c>
      <c r="K3" s="29"/>
      <c r="L3" s="101"/>
      <c r="P3" s="38">
        <f>MATCH($D$3,LN,0)</f>
        <v>1</v>
      </c>
    </row>
    <row r="4" spans="1:34" ht="16.2">
      <c r="A4" s="27"/>
      <c r="B4" s="453" t="str">
        <f ca="1">OFFSET(L!$C$1,MATCH("Declaration"&amp;ADDRESS(ROW(),COLUMN(),4),L!$A:$A,0)-1,SL,,)</f>
        <v>The purpose of this document is to collect sourcing information on below minerals.</v>
      </c>
      <c r="C4" s="453"/>
      <c r="D4" s="453"/>
      <c r="E4" s="453"/>
      <c r="F4" s="453"/>
      <c r="G4" s="453"/>
      <c r="H4" s="453"/>
      <c r="I4" s="457" t="str">
        <f ca="1">OFFSET(L!$C$1,MATCH("Declaration"&amp;ADDRESS(ROW(),COLUMN(),4),L!$A:$A,0)-1,SL,,)</f>
        <v>Link to Terms &amp; Conditions</v>
      </c>
      <c r="J4" s="457"/>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53" t="str">
        <f ca="1">OFFSET(L!$C$1,MATCH("Declaration"&amp;ADDRESS(ROW(),COLUMN(),4),L!$A:$A,0)-1,SL,,)</f>
        <v>Mandatory fields are noted with an asterisk (*).  Consult the instructions tab for guidance on how to answer each question.</v>
      </c>
      <c r="C6" s="453"/>
      <c r="D6" s="453"/>
      <c r="E6" s="453"/>
      <c r="F6" s="453"/>
      <c r="G6" s="453"/>
      <c r="H6" s="453"/>
      <c r="I6" s="453"/>
      <c r="J6" s="453"/>
      <c r="K6" s="29"/>
      <c r="L6" s="103" t="s">
        <v>18</v>
      </c>
      <c r="P6" s="2"/>
      <c r="Q6" s="2"/>
      <c r="R6" s="2"/>
      <c r="S6" s="2"/>
      <c r="T6" s="2"/>
      <c r="U6" s="2"/>
      <c r="V6" s="2"/>
      <c r="W6" s="2"/>
      <c r="X6" s="2"/>
      <c r="Y6" s="2"/>
      <c r="Z6" s="2"/>
      <c r="AA6" s="2"/>
      <c r="AB6" s="2"/>
      <c r="AC6" s="2"/>
      <c r="AD6" s="2"/>
      <c r="AE6" s="2"/>
      <c r="AF6" s="2"/>
      <c r="AG6" s="2"/>
      <c r="AH6" s="2"/>
    </row>
    <row r="7" spans="1:34" ht="16.2">
      <c r="A7" s="27"/>
      <c r="B7" s="458" t="str">
        <f ca="1">OFFSET(L!$C$1,MATCH("Declaration"&amp;ADDRESS(ROW(),COLUMN(),4),L!$A:$A,0)-1,SL,,)</f>
        <v>Company Information</v>
      </c>
      <c r="C7" s="458"/>
      <c r="D7" s="458"/>
      <c r="E7" s="458"/>
      <c r="F7" s="458"/>
      <c r="G7" s="458"/>
      <c r="H7" s="458"/>
      <c r="I7" s="458"/>
      <c r="J7" s="458"/>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50" t="s">
        <v>20161</v>
      </c>
      <c r="E8" s="451"/>
      <c r="F8" s="451"/>
      <c r="G8" s="451"/>
      <c r="H8" s="451"/>
      <c r="I8" s="451"/>
      <c r="J8" s="45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34" t="s">
        <v>19</v>
      </c>
      <c r="E9" s="435"/>
      <c r="F9" s="435"/>
      <c r="G9" s="43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9" t="str">
        <f ca="1">OFFSET(L!$C$1,MATCH("Declaration"&amp;ADDRESS(ROW(),COLUMN(),4)&amp;LEFT($D$9,1),L!$A:$A,0)-1,SL,,)</f>
        <v>Description of Scope:</v>
      </c>
      <c r="C10" s="111"/>
      <c r="D10" s="454"/>
      <c r="E10" s="455"/>
      <c r="F10" s="455"/>
      <c r="G10" s="455"/>
      <c r="H10" s="455"/>
      <c r="I10" s="455"/>
      <c r="J10" s="456"/>
      <c r="K10" s="29"/>
      <c r="L10" s="103"/>
      <c r="Q10" s="2"/>
      <c r="R10" s="2"/>
      <c r="S10" s="2"/>
      <c r="T10" s="2"/>
      <c r="U10" s="2"/>
      <c r="V10" s="2"/>
      <c r="W10" s="2"/>
      <c r="X10" s="2"/>
      <c r="Y10" s="2"/>
      <c r="Z10" s="2"/>
      <c r="AA10" s="2"/>
      <c r="AB10" s="2"/>
      <c r="AC10" s="2"/>
      <c r="AD10" s="2"/>
      <c r="AE10" s="2"/>
      <c r="AF10" s="2"/>
      <c r="AG10" s="2"/>
      <c r="AH10" s="2"/>
    </row>
    <row r="11" spans="1:34" ht="16.2">
      <c r="A11" s="31"/>
      <c r="B11" s="460"/>
      <c r="C11" s="111"/>
      <c r="D11" s="461" t="str">
        <f ca="1">IF(D9=Q9,OFFSET(L!$C$1,MATCH("Declaration"&amp;ADDRESS(ROW(),COLUMN(),4),L!$A:$A,0)-1,SL,,),"")</f>
        <v/>
      </c>
      <c r="E11" s="462"/>
      <c r="F11" s="462"/>
      <c r="G11" s="462"/>
      <c r="H11" s="462"/>
      <c r="I11" s="462"/>
      <c r="J11" s="463"/>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64" t="s">
        <v>18684</v>
      </c>
      <c r="F12" s="465"/>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64" t="s">
        <v>19184</v>
      </c>
      <c r="F13" s="465"/>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66"/>
      <c r="C14" s="111"/>
      <c r="D14" s="296"/>
      <c r="E14" s="468"/>
      <c r="F14" s="469"/>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6.2">
      <c r="A15" s="31"/>
      <c r="B15" s="467"/>
      <c r="C15" s="111"/>
      <c r="D15" s="296"/>
      <c r="E15" s="468"/>
      <c r="F15" s="46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6"/>
      <c r="D16" s="431"/>
      <c r="E16" s="432"/>
      <c r="F16" s="432"/>
      <c r="G16" s="432"/>
      <c r="H16" s="432"/>
      <c r="I16" s="432"/>
      <c r="J16" s="433"/>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6"/>
      <c r="D17" s="431"/>
      <c r="E17" s="432"/>
      <c r="F17" s="432"/>
      <c r="G17" s="432"/>
      <c r="H17" s="432"/>
      <c r="I17" s="432"/>
      <c r="J17" s="433"/>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6"/>
      <c r="D18" s="431"/>
      <c r="E18" s="432"/>
      <c r="F18" s="432"/>
      <c r="G18" s="432"/>
      <c r="H18" s="432"/>
      <c r="I18" s="432"/>
      <c r="J18" s="433"/>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31" t="s">
        <v>20162</v>
      </c>
      <c r="E19" s="432"/>
      <c r="F19" s="432"/>
      <c r="G19" s="432"/>
      <c r="H19" s="432"/>
      <c r="I19" s="432"/>
      <c r="J19" s="433"/>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9" t="s">
        <v>20163</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31" t="s">
        <v>20164</v>
      </c>
      <c r="E21" s="432"/>
      <c r="F21" s="432"/>
      <c r="G21" s="432"/>
      <c r="H21" s="432"/>
      <c r="I21" s="432"/>
      <c r="J21" s="433"/>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31" t="s">
        <v>20162</v>
      </c>
      <c r="E22" s="432"/>
      <c r="F22" s="432"/>
      <c r="G22" s="432"/>
      <c r="H22" s="432"/>
      <c r="I22" s="432"/>
      <c r="J22" s="433"/>
      <c r="K22" s="29"/>
      <c r="L22" s="97"/>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Title - Authorizer:</v>
      </c>
      <c r="C23" s="66"/>
      <c r="D23" s="431"/>
      <c r="E23" s="432"/>
      <c r="F23" s="432"/>
      <c r="G23" s="432"/>
      <c r="H23" s="432"/>
      <c r="I23" s="432"/>
      <c r="J23" s="433"/>
      <c r="K23" s="29"/>
      <c r="L23" s="97"/>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 - Authorizer (*):</v>
      </c>
      <c r="C24" s="66"/>
      <c r="D24" s="439" t="s">
        <v>20165</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31"/>
      <c r="E25" s="432"/>
      <c r="F25" s="432"/>
      <c r="G25" s="432"/>
      <c r="H25" s="432"/>
      <c r="I25" s="432"/>
      <c r="J25" s="433"/>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2">
        <v>45981</v>
      </c>
      <c r="E26" s="44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7"/>
      <c r="E27" s="437"/>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8" t="str">
        <f ca="1">OFFSET(L!$C$1,MATCH("Declaration"&amp;ADDRESS(ROW(),COLUMN(),4),L!$A:$A,0)-1,SL,,)</f>
        <v>Answer the following questions 1 - 7 based on the declaration scope indicated above</v>
      </c>
      <c r="C28" s="438"/>
      <c r="D28" s="438"/>
      <c r="E28" s="438"/>
      <c r="F28" s="438"/>
      <c r="G28" s="438"/>
      <c r="H28" s="438"/>
      <c r="I28" s="438"/>
      <c r="J28" s="438"/>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9" t="str">
        <f ca="1">OFFSET(L!$C$1,MATCH("Declaration"&amp;ADDRESS(ROW(),COLUMN(),4),L!$A:$A,0)-1,SL,,)</f>
        <v>Answer</v>
      </c>
      <c r="E29" s="41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10" t="s">
        <v>25</v>
      </c>
      <c r="E30" s="411"/>
      <c r="F30" s="8"/>
      <c r="G30" s="412"/>
      <c r="H30" s="413"/>
      <c r="I30" s="413"/>
      <c r="J30" s="41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10" t="s">
        <v>25</v>
      </c>
      <c r="E31" s="411"/>
      <c r="F31" s="8"/>
      <c r="G31" s="412"/>
      <c r="H31" s="413"/>
      <c r="I31" s="413"/>
      <c r="J31" s="41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Nickel(*)</v>
      </c>
      <c r="C32" s="28"/>
      <c r="D32" s="410" t="s">
        <v>25</v>
      </c>
      <c r="E32" s="411"/>
      <c r="F32" s="8"/>
      <c r="G32" s="412"/>
      <c r="H32" s="413"/>
      <c r="I32" s="413"/>
      <c r="J32" s="414"/>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2">
      <c r="A33" s="34"/>
      <c r="B33" s="297" t="str">
        <f t="shared" si="32"/>
        <v/>
      </c>
      <c r="C33" s="28"/>
      <c r="D33" s="410"/>
      <c r="E33" s="411"/>
      <c r="F33" s="8"/>
      <c r="G33" s="412"/>
      <c r="H33" s="413"/>
      <c r="I33" s="413"/>
      <c r="J33" s="414"/>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
      </c>
      <c r="C34" s="28"/>
      <c r="D34" s="410"/>
      <c r="E34" s="411"/>
      <c r="F34" s="8"/>
      <c r="G34" s="412"/>
      <c r="H34" s="413"/>
      <c r="I34" s="413"/>
      <c r="J34" s="414"/>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10"/>
      <c r="E35" s="411"/>
      <c r="F35" s="8"/>
      <c r="G35" s="412"/>
      <c r="H35" s="413"/>
      <c r="I35" s="413"/>
      <c r="J35" s="414"/>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10"/>
      <c r="E36" s="411"/>
      <c r="F36" s="8"/>
      <c r="G36" s="412"/>
      <c r="H36" s="413"/>
      <c r="I36" s="413"/>
      <c r="J36" s="41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10"/>
      <c r="E37" s="411"/>
      <c r="F37" s="8"/>
      <c r="G37" s="412"/>
      <c r="H37" s="413"/>
      <c r="I37" s="413"/>
      <c r="J37" s="41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10"/>
      <c r="E38" s="411"/>
      <c r="F38" s="8"/>
      <c r="G38" s="412"/>
      <c r="H38" s="413"/>
      <c r="I38" s="413"/>
      <c r="J38" s="41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10"/>
      <c r="E39" s="411"/>
      <c r="F39" s="8"/>
      <c r="G39" s="412"/>
      <c r="H39" s="413"/>
      <c r="I39" s="413"/>
      <c r="J39" s="41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6" t="str">
        <f ca="1">D29</f>
        <v>Answer</v>
      </c>
      <c r="E41" s="426"/>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10" t="s">
        <v>25</v>
      </c>
      <c r="E42" s="411"/>
      <c r="F42" s="8"/>
      <c r="G42" s="412"/>
      <c r="H42" s="413"/>
      <c r="I42" s="413"/>
      <c r="J42" s="414"/>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10" t="s">
        <v>25</v>
      </c>
      <c r="E43" s="411"/>
      <c r="F43" s="8"/>
      <c r="G43" s="412"/>
      <c r="H43" s="413"/>
      <c r="I43" s="413"/>
      <c r="J43" s="414"/>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Nickel(*)</v>
      </c>
      <c r="C44" s="28"/>
      <c r="D44" s="410" t="s">
        <v>25</v>
      </c>
      <c r="E44" s="411"/>
      <c r="F44" s="8"/>
      <c r="G44" s="412"/>
      <c r="H44" s="413"/>
      <c r="I44" s="413"/>
      <c r="J44" s="414"/>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
      </c>
      <c r="C45" s="28"/>
      <c r="D45" s="410"/>
      <c r="E45" s="411"/>
      <c r="F45" s="8"/>
      <c r="G45" s="412"/>
      <c r="H45" s="413"/>
      <c r="I45" s="413"/>
      <c r="J45" s="414"/>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
      </c>
      <c r="C46" s="28"/>
      <c r="D46" s="410"/>
      <c r="E46" s="411"/>
      <c r="F46" s="8"/>
      <c r="G46" s="412"/>
      <c r="H46" s="413"/>
      <c r="I46" s="413"/>
      <c r="J46" s="414"/>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10"/>
      <c r="E47" s="411"/>
      <c r="F47" s="8"/>
      <c r="G47" s="412"/>
      <c r="H47" s="413"/>
      <c r="I47" s="413"/>
      <c r="J47" s="414"/>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10"/>
      <c r="E48" s="411"/>
      <c r="F48" s="8"/>
      <c r="G48" s="412"/>
      <c r="H48" s="413"/>
      <c r="I48" s="413"/>
      <c r="J48" s="414"/>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10"/>
      <c r="E49" s="411"/>
      <c r="F49" s="8"/>
      <c r="G49" s="412"/>
      <c r="H49" s="413"/>
      <c r="I49" s="413"/>
      <c r="J49" s="414"/>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10"/>
      <c r="E50" s="411"/>
      <c r="F50" s="8"/>
      <c r="G50" s="412"/>
      <c r="H50" s="413"/>
      <c r="I50" s="413"/>
      <c r="J50" s="414"/>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10"/>
      <c r="E51" s="411"/>
      <c r="F51" s="8"/>
      <c r="G51" s="412"/>
      <c r="H51" s="413"/>
      <c r="I51" s="413"/>
      <c r="J51" s="414"/>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6" t="str">
        <f ca="1">D29</f>
        <v>Answer</v>
      </c>
      <c r="E53" s="426"/>
      <c r="F53" s="14"/>
      <c r="G53" s="37" t="str">
        <f ca="1">G29</f>
        <v>Comments</v>
      </c>
      <c r="H53" s="430"/>
      <c r="I53" s="430"/>
      <c r="J53" s="430"/>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10" t="s">
        <v>22</v>
      </c>
      <c r="E54" s="411"/>
      <c r="F54" s="40"/>
      <c r="G54" s="412"/>
      <c r="H54" s="413"/>
      <c r="I54" s="413"/>
      <c r="J54" s="414"/>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10" t="s">
        <v>22</v>
      </c>
      <c r="E55" s="411"/>
      <c r="F55" s="40"/>
      <c r="G55" s="412"/>
      <c r="H55" s="413"/>
      <c r="I55" s="413"/>
      <c r="J55" s="414"/>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Nickel(*)</v>
      </c>
      <c r="C56" s="6"/>
      <c r="D56" s="410" t="s">
        <v>22</v>
      </c>
      <c r="E56" s="411"/>
      <c r="F56" s="40"/>
      <c r="G56" s="412"/>
      <c r="H56" s="413"/>
      <c r="I56" s="413"/>
      <c r="J56" s="414"/>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05" customHeight="1">
      <c r="A57" s="34"/>
      <c r="B57" s="298" t="str">
        <f>IF(ISERROR(AA$15),"",AA$15&amp;"")&amp;P$57</f>
        <v/>
      </c>
      <c r="C57" s="6"/>
      <c r="D57" s="410"/>
      <c r="E57" s="411"/>
      <c r="F57" s="40"/>
      <c r="G57" s="412"/>
      <c r="H57" s="413"/>
      <c r="I57" s="413"/>
      <c r="J57" s="414"/>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
      </c>
      <c r="C58" s="6"/>
      <c r="D58" s="410"/>
      <c r="E58" s="411"/>
      <c r="F58" s="40"/>
      <c r="G58" s="412"/>
      <c r="H58" s="413"/>
      <c r="I58" s="413"/>
      <c r="J58" s="414"/>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10"/>
      <c r="E59" s="411"/>
      <c r="F59" s="40"/>
      <c r="G59" s="412"/>
      <c r="H59" s="413"/>
      <c r="I59" s="413"/>
      <c r="J59" s="414"/>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10"/>
      <c r="E60" s="411"/>
      <c r="F60" s="40"/>
      <c r="G60" s="412"/>
      <c r="H60" s="413"/>
      <c r="I60" s="413"/>
      <c r="J60" s="414"/>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10"/>
      <c r="E61" s="411"/>
      <c r="F61" s="40"/>
      <c r="G61" s="412"/>
      <c r="H61" s="413"/>
      <c r="I61" s="413"/>
      <c r="J61" s="414"/>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10"/>
      <c r="E62" s="411"/>
      <c r="F62" s="40"/>
      <c r="G62" s="412"/>
      <c r="H62" s="413"/>
      <c r="I62" s="413"/>
      <c r="J62" s="414"/>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10"/>
      <c r="E63" s="411"/>
      <c r="F63" s="40"/>
      <c r="G63" s="412"/>
      <c r="H63" s="413"/>
      <c r="I63" s="413"/>
      <c r="J63" s="414"/>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6" t="str">
        <f ca="1">D29</f>
        <v>Answer</v>
      </c>
      <c r="E65" s="42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10" t="s">
        <v>22</v>
      </c>
      <c r="E66" s="411"/>
      <c r="F66" s="40"/>
      <c r="G66" s="412"/>
      <c r="H66" s="413"/>
      <c r="I66" s="413"/>
      <c r="J66" s="41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10" t="s">
        <v>22</v>
      </c>
      <c r="E67" s="411"/>
      <c r="F67" s="40"/>
      <c r="G67" s="412"/>
      <c r="H67" s="413"/>
      <c r="I67" s="413"/>
      <c r="J67" s="41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10" t="s">
        <v>22</v>
      </c>
      <c r="E68" s="411"/>
      <c r="F68" s="40"/>
      <c r="G68" s="412"/>
      <c r="H68" s="413"/>
      <c r="I68" s="413"/>
      <c r="J68" s="41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10"/>
      <c r="E69" s="411"/>
      <c r="F69" s="40"/>
      <c r="G69" s="412"/>
      <c r="H69" s="413"/>
      <c r="I69" s="413"/>
      <c r="J69" s="41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10"/>
      <c r="E70" s="411"/>
      <c r="F70" s="40"/>
      <c r="G70" s="412"/>
      <c r="H70" s="413"/>
      <c r="I70" s="413"/>
      <c r="J70" s="41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10"/>
      <c r="E71" s="411"/>
      <c r="F71" s="40"/>
      <c r="G71" s="412"/>
      <c r="H71" s="413"/>
      <c r="I71" s="413"/>
      <c r="J71" s="41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10"/>
      <c r="E72" s="411"/>
      <c r="F72" s="40"/>
      <c r="G72" s="412"/>
      <c r="H72" s="413"/>
      <c r="I72" s="413"/>
      <c r="J72" s="41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10"/>
      <c r="E73" s="411"/>
      <c r="F73" s="40"/>
      <c r="G73" s="412"/>
      <c r="H73" s="413"/>
      <c r="I73" s="413"/>
      <c r="J73" s="41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10"/>
      <c r="E74" s="411"/>
      <c r="F74" s="40"/>
      <c r="G74" s="412"/>
      <c r="H74" s="413"/>
      <c r="I74" s="413"/>
      <c r="J74" s="41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10"/>
      <c r="E75" s="411"/>
      <c r="F75" s="40"/>
      <c r="G75" s="412"/>
      <c r="H75" s="413"/>
      <c r="I75" s="413"/>
      <c r="J75" s="41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6" t="str">
        <f ca="1">D29</f>
        <v>Answer</v>
      </c>
      <c r="E77" s="42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10" t="s">
        <v>20166</v>
      </c>
      <c r="E78" s="411"/>
      <c r="F78" s="40"/>
      <c r="G78" s="412"/>
      <c r="H78" s="413"/>
      <c r="I78" s="413"/>
      <c r="J78" s="41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10" t="s">
        <v>20166</v>
      </c>
      <c r="E79" s="411"/>
      <c r="F79" s="40"/>
      <c r="G79" s="412"/>
      <c r="H79" s="413"/>
      <c r="I79" s="413"/>
      <c r="J79" s="41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10" t="s">
        <v>20166</v>
      </c>
      <c r="E80" s="411"/>
      <c r="F80" s="40"/>
      <c r="G80" s="412"/>
      <c r="H80" s="413"/>
      <c r="I80" s="413"/>
      <c r="J80" s="41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10"/>
      <c r="E81" s="411"/>
      <c r="F81" s="40"/>
      <c r="G81" s="412"/>
      <c r="H81" s="413"/>
      <c r="I81" s="413"/>
      <c r="J81" s="41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10"/>
      <c r="E82" s="411"/>
      <c r="F82" s="40"/>
      <c r="G82" s="412"/>
      <c r="H82" s="413"/>
      <c r="I82" s="413"/>
      <c r="J82" s="41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10"/>
      <c r="E83" s="411"/>
      <c r="F83" s="40"/>
      <c r="G83" s="412"/>
      <c r="H83" s="413"/>
      <c r="I83" s="413"/>
      <c r="J83" s="41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10"/>
      <c r="E84" s="411"/>
      <c r="F84" s="40"/>
      <c r="G84" s="412"/>
      <c r="H84" s="413"/>
      <c r="I84" s="413"/>
      <c r="J84" s="41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10"/>
      <c r="E85" s="411"/>
      <c r="F85" s="40"/>
      <c r="G85" s="412"/>
      <c r="H85" s="413"/>
      <c r="I85" s="413"/>
      <c r="J85" s="41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10"/>
      <c r="E86" s="411"/>
      <c r="F86" s="40"/>
      <c r="G86" s="412"/>
      <c r="H86" s="413"/>
      <c r="I86" s="413"/>
      <c r="J86" s="41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10"/>
      <c r="E87" s="411"/>
      <c r="F87" s="40"/>
      <c r="G87" s="412"/>
      <c r="H87" s="413"/>
      <c r="I87" s="413"/>
      <c r="J87" s="41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6" t="str">
        <f ca="1">D29</f>
        <v>Answer</v>
      </c>
      <c r="E89" s="426"/>
      <c r="F89" s="14"/>
      <c r="G89" s="37" t="str">
        <f ca="1">G29</f>
        <v>Comments</v>
      </c>
      <c r="H89" s="427"/>
      <c r="I89" s="427"/>
      <c r="J89" s="427"/>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10" t="s">
        <v>25</v>
      </c>
      <c r="E90" s="411"/>
      <c r="F90" s="40"/>
      <c r="G90" s="412"/>
      <c r="H90" s="413"/>
      <c r="I90" s="413"/>
      <c r="J90" s="41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10" t="s">
        <v>25</v>
      </c>
      <c r="E91" s="411"/>
      <c r="F91" s="40"/>
      <c r="G91" s="412"/>
      <c r="H91" s="413"/>
      <c r="I91" s="413"/>
      <c r="J91" s="414"/>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Nickel(*)</v>
      </c>
      <c r="C92" s="6"/>
      <c r="D92" s="410" t="s">
        <v>25</v>
      </c>
      <c r="E92" s="411"/>
      <c r="F92" s="40"/>
      <c r="G92" s="412"/>
      <c r="H92" s="413"/>
      <c r="I92" s="413"/>
      <c r="J92" s="414"/>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
      </c>
      <c r="C93" s="6"/>
      <c r="D93" s="410"/>
      <c r="E93" s="411"/>
      <c r="F93" s="40"/>
      <c r="G93" s="412"/>
      <c r="H93" s="413"/>
      <c r="I93" s="413"/>
      <c r="J93" s="414"/>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
      </c>
      <c r="C94" s="6"/>
      <c r="D94" s="410"/>
      <c r="E94" s="411"/>
      <c r="F94" s="40"/>
      <c r="G94" s="412"/>
      <c r="H94" s="413"/>
      <c r="I94" s="413"/>
      <c r="J94" s="41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10"/>
      <c r="E95" s="411"/>
      <c r="F95" s="40"/>
      <c r="G95" s="412"/>
      <c r="H95" s="413"/>
      <c r="I95" s="413"/>
      <c r="J95" s="41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10"/>
      <c r="E96" s="411"/>
      <c r="F96" s="40"/>
      <c r="G96" s="412"/>
      <c r="H96" s="413"/>
      <c r="I96" s="413"/>
      <c r="J96" s="41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10"/>
      <c r="E97" s="411"/>
      <c r="F97" s="40"/>
      <c r="G97" s="412"/>
      <c r="H97" s="413"/>
      <c r="I97" s="413"/>
      <c r="J97" s="41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10"/>
      <c r="E98" s="411"/>
      <c r="F98" s="40"/>
      <c r="G98" s="412"/>
      <c r="H98" s="413"/>
      <c r="I98" s="413"/>
      <c r="J98" s="41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10"/>
      <c r="E99" s="411"/>
      <c r="F99" s="40"/>
      <c r="G99" s="412"/>
      <c r="H99" s="413"/>
      <c r="I99" s="413"/>
      <c r="J99" s="41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6" t="str">
        <f ca="1">D29</f>
        <v>Answer</v>
      </c>
      <c r="E101" s="426"/>
      <c r="F101" s="14"/>
      <c r="G101" s="37" t="str">
        <f ca="1">G29</f>
        <v>Comments</v>
      </c>
      <c r="H101" s="427" t="str">
        <f>IF(Q115="(*)","Click here to enter smelter names","")</f>
        <v/>
      </c>
      <c r="I101" s="427"/>
      <c r="J101" s="42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10" t="s">
        <v>25</v>
      </c>
      <c r="E102" s="411"/>
      <c r="F102" s="41"/>
      <c r="G102" s="412"/>
      <c r="H102" s="413"/>
      <c r="I102" s="413"/>
      <c r="J102" s="41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10" t="s">
        <v>25</v>
      </c>
      <c r="E103" s="411"/>
      <c r="F103" s="41"/>
      <c r="G103" s="412"/>
      <c r="H103" s="413"/>
      <c r="I103" s="413"/>
      <c r="J103" s="41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Nickel(*)</v>
      </c>
      <c r="C104" s="28"/>
      <c r="D104" s="410" t="s">
        <v>25</v>
      </c>
      <c r="E104" s="411"/>
      <c r="F104" s="41"/>
      <c r="G104" s="412"/>
      <c r="H104" s="413"/>
      <c r="I104" s="413"/>
      <c r="J104" s="41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
      </c>
      <c r="C105" s="28"/>
      <c r="D105" s="410"/>
      <c r="E105" s="411"/>
      <c r="F105" s="41"/>
      <c r="G105" s="412"/>
      <c r="H105" s="413"/>
      <c r="I105" s="413"/>
      <c r="J105" s="41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
      </c>
      <c r="C106" s="28"/>
      <c r="D106" s="410"/>
      <c r="E106" s="411"/>
      <c r="F106" s="41"/>
      <c r="G106" s="412"/>
      <c r="H106" s="413"/>
      <c r="I106" s="413"/>
      <c r="J106" s="41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10"/>
      <c r="E107" s="411"/>
      <c r="F107" s="41"/>
      <c r="G107" s="412"/>
      <c r="H107" s="413"/>
      <c r="I107" s="413"/>
      <c r="J107" s="41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10"/>
      <c r="E108" s="411"/>
      <c r="F108" s="41"/>
      <c r="G108" s="412"/>
      <c r="H108" s="413"/>
      <c r="I108" s="413"/>
      <c r="J108" s="41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10"/>
      <c r="E109" s="411"/>
      <c r="F109" s="41"/>
      <c r="G109" s="412"/>
      <c r="H109" s="413"/>
      <c r="I109" s="413"/>
      <c r="J109" s="41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10"/>
      <c r="E110" s="411"/>
      <c r="F110" s="41"/>
      <c r="G110" s="412"/>
      <c r="H110" s="413"/>
      <c r="I110" s="413"/>
      <c r="J110" s="41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10"/>
      <c r="E111" s="411"/>
      <c r="F111" s="43"/>
      <c r="G111" s="412"/>
      <c r="H111" s="413"/>
      <c r="I111" s="413"/>
      <c r="J111" s="41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25" t="str">
        <f ca="1">OFFSET(L!$C$1,MATCH("Declaration"&amp;ADDRESS(ROW(),COLUMN(),4),L!$A:$A,0)-1,SL,,)</f>
        <v>Answer the Following Questions at a Company Level</v>
      </c>
      <c r="C113" s="425"/>
      <c r="D113" s="425"/>
      <c r="E113" s="425"/>
      <c r="F113" s="425"/>
      <c r="G113" s="425"/>
      <c r="H113" s="425"/>
      <c r="I113" s="425"/>
      <c r="J113" s="425"/>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9" t="str">
        <f ca="1">D29</f>
        <v>Answer</v>
      </c>
      <c r="E114" s="419"/>
      <c r="F114" s="46"/>
      <c r="G114" s="419" t="str">
        <f ca="1">G29</f>
        <v>Comments</v>
      </c>
      <c r="H114" s="419" t="e">
        <f>HLOOKUP(SL,LT,$O114,0)</f>
        <v>#NAME?</v>
      </c>
      <c r="I114" s="41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10" t="s">
        <v>25</v>
      </c>
      <c r="E115" s="411"/>
      <c r="F115" s="49"/>
      <c r="G115" s="412"/>
      <c r="H115" s="413"/>
      <c r="I115" s="413"/>
      <c r="J115" s="41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7"/>
      <c r="H116" s="417"/>
      <c r="I116" s="417"/>
      <c r="J116" s="41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10" t="s">
        <v>22</v>
      </c>
      <c r="E117" s="411"/>
      <c r="F117" s="49"/>
      <c r="G117" s="420"/>
      <c r="H117" s="421"/>
      <c r="I117" s="421"/>
      <c r="J117" s="42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3"/>
      <c r="E119" s="423"/>
      <c r="F119" s="231"/>
      <c r="G119" s="424"/>
      <c r="H119" s="424"/>
      <c r="I119" s="424"/>
      <c r="J119" s="42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10" t="s">
        <v>22</v>
      </c>
      <c r="E120" s="411"/>
      <c r="F120" s="8"/>
      <c r="G120" s="412"/>
      <c r="H120" s="413"/>
      <c r="I120" s="413"/>
      <c r="J120" s="41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10" t="s">
        <v>22</v>
      </c>
      <c r="E121" s="411"/>
      <c r="F121" s="8"/>
      <c r="G121" s="412"/>
      <c r="H121" s="413"/>
      <c r="I121" s="413"/>
      <c r="J121" s="41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Nickel(*)</v>
      </c>
      <c r="C122" s="6"/>
      <c r="D122" s="410" t="s">
        <v>22</v>
      </c>
      <c r="E122" s="411"/>
      <c r="F122" s="8"/>
      <c r="G122" s="412"/>
      <c r="H122" s="413"/>
      <c r="I122" s="413"/>
      <c r="J122" s="41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
      </c>
      <c r="C123" s="6"/>
      <c r="D123" s="410"/>
      <c r="E123" s="411"/>
      <c r="F123" s="8"/>
      <c r="G123" s="412"/>
      <c r="H123" s="413"/>
      <c r="I123" s="413"/>
      <c r="J123" s="41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
      </c>
      <c r="C124" s="6"/>
      <c r="D124" s="410"/>
      <c r="E124" s="411"/>
      <c r="F124" s="8"/>
      <c r="G124" s="412"/>
      <c r="H124" s="413"/>
      <c r="I124" s="413"/>
      <c r="J124" s="41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10"/>
      <c r="E125" s="411"/>
      <c r="F125" s="8"/>
      <c r="G125" s="412"/>
      <c r="H125" s="413"/>
      <c r="I125" s="413"/>
      <c r="J125" s="41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10"/>
      <c r="E126" s="411"/>
      <c r="F126" s="8"/>
      <c r="G126" s="412"/>
      <c r="H126" s="413"/>
      <c r="I126" s="413"/>
      <c r="J126" s="41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10"/>
      <c r="E127" s="411"/>
      <c r="F127" s="8"/>
      <c r="G127" s="412"/>
      <c r="H127" s="413"/>
      <c r="I127" s="413"/>
      <c r="J127" s="41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10"/>
      <c r="E128" s="411"/>
      <c r="F128" s="8"/>
      <c r="G128" s="412"/>
      <c r="H128" s="413"/>
      <c r="I128" s="413"/>
      <c r="J128" s="41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10"/>
      <c r="E129" s="411"/>
      <c r="F129" s="8"/>
      <c r="G129" s="412"/>
      <c r="H129" s="413"/>
      <c r="I129" s="413"/>
      <c r="J129" s="41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10" t="s">
        <v>25</v>
      </c>
      <c r="E131" s="411"/>
      <c r="F131" s="49"/>
      <c r="G131" s="412"/>
      <c r="H131" s="413"/>
      <c r="I131" s="413"/>
      <c r="J131" s="41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5" t="s">
        <v>32</v>
      </c>
      <c r="E133" s="416"/>
      <c r="F133" s="49"/>
      <c r="G133" s="412"/>
      <c r="H133" s="413"/>
      <c r="I133" s="413"/>
      <c r="J133" s="41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7"/>
      <c r="H134" s="417"/>
      <c r="I134" s="417"/>
      <c r="J134" s="41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10" t="s">
        <v>25</v>
      </c>
      <c r="E135" s="411"/>
      <c r="F135" s="49"/>
      <c r="G135" s="412"/>
      <c r="H135" s="413"/>
      <c r="I135" s="413"/>
      <c r="J135" s="41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8"/>
      <c r="H136" s="418"/>
      <c r="I136" s="418"/>
      <c r="J136" s="41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10" t="s">
        <v>25</v>
      </c>
      <c r="E137" s="411"/>
      <c r="F137" s="49"/>
      <c r="G137" s="412"/>
      <c r="H137" s="413"/>
      <c r="I137" s="413"/>
      <c r="J137" s="41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7" t="str">
        <f>IF(OR($D$8="",$I$3=""),"","Click here to check required fields completion")</f>
        <v/>
      </c>
      <c r="C138" s="407"/>
      <c r="D138" s="407"/>
      <c r="E138" s="407"/>
      <c r="F138" s="407"/>
      <c r="G138" s="407"/>
      <c r="H138" s="407"/>
      <c r="I138" s="407"/>
      <c r="J138" s="407"/>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8" t="str">
        <f ca="1">OFFSET(L!$C$1,MATCH("General"&amp;"Cpy",L!$A:$A,0)-1,SL,,)</f>
        <v>© 2025 Responsible Minerals Initiative. All rights reserved.</v>
      </c>
      <c r="B139" s="409"/>
      <c r="C139" s="409"/>
      <c r="D139" s="409"/>
      <c r="E139" s="409"/>
      <c r="F139" s="409"/>
      <c r="G139" s="409"/>
      <c r="H139" s="409"/>
      <c r="I139" s="409"/>
      <c r="J139" s="409"/>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6B772481-2F11-4DA4-83A4-244FB5F19940}"/>
    <hyperlink ref="D24" r:id="rId2" xr:uid="{5F94C379-F062-4B12-91AE-81E32AF43E78}"/>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zoomScaleNormal="100" workbookViewId="0">
      <selection activeCell="B3" sqref="B3:E3"/>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10"/>
      <c r="AH2" s="129" t="s">
        <v>25</v>
      </c>
    </row>
    <row r="3" spans="1:34" s="16" customFormat="1" ht="249.6"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2025 Responsible Minerals Initiative. All rights reserved.</v>
      </c>
      <c r="H3" s="392"/>
      <c r="I3" s="393"/>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37.799999999999997">
      <c r="A5" s="196" t="s">
        <v>102</v>
      </c>
      <c r="B5" s="302" t="s">
        <v>40</v>
      </c>
      <c r="C5" s="151" t="s">
        <v>100</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IF(C5="",NA(),MATCH($B5&amp;$C5,'Smelter Look-up'!$J:$J,0))</f>
        <v>152</v>
      </c>
      <c r="X5" s="169">
        <f t="shared" ref="X5:X12" ca="1" si="1">IF(AND(C5="Smelter not listed",OR(LEN(D5)=0,LEN(E5)=0)),1,0)</f>
        <v>0</v>
      </c>
      <c r="AB5" s="312" t="str">
        <f t="shared" ref="AB5:AB12" si="2">IF(C5="","",B5)</f>
        <v>Cobalt</v>
      </c>
      <c r="AC5" s="169" t="str">
        <f>B5</f>
        <v>Cobalt</v>
      </c>
      <c r="AD5" s="169" t="str">
        <f>IF(C5="Smelter not listed",D5,C5)</f>
        <v>Umicore Finland Oy</v>
      </c>
    </row>
    <row r="6" spans="1:34" s="169" customFormat="1" ht="25.2">
      <c r="A6" s="196" t="s">
        <v>271</v>
      </c>
      <c r="B6" s="302" t="s">
        <v>40</v>
      </c>
      <c r="C6" s="151" t="s">
        <v>269</v>
      </c>
      <c r="D6" s="148"/>
      <c r="E6" s="148" t="str">
        <f ca="1">IF(ISERROR($V6),"",OFFSET('Smelter Look-up'!$D$4,$V6-4,0)&amp;"")</f>
        <v>BELGIUM</v>
      </c>
      <c r="F6" s="148" t="str">
        <f ca="1">IF(ISERROR($V6),"",OFFSET('Smelter Look-up'!$E$4,$V6-4,0))</f>
        <v>CID003228</v>
      </c>
      <c r="G6" s="148" t="str">
        <f ca="1">IF(C6=$X$4,"Enter smelter details",IF(ISERROR($V6),"",OFFSET('Smelter Look-up'!$F$4,$V6-4,0)))</f>
        <v>RMI</v>
      </c>
      <c r="H6" s="204">
        <f ca="1">IF(ISERROR($V6),"",OFFSET('Smelter Look-up'!$G$4,$V6-4,0))</f>
        <v>0</v>
      </c>
      <c r="I6" s="205" t="str">
        <f ca="1">IF(ISERROR($V6),"",OFFSET('Smelter Look-up'!$H$4,$V6-4,0))</f>
        <v>Olen</v>
      </c>
      <c r="J6" s="205" t="str">
        <f ca="1">IF(ISERROR($V6),"",OFFSET('Smelter Look-up'!$I$4,$V6-4,0))</f>
        <v>Antwerpen</v>
      </c>
      <c r="K6" s="149"/>
      <c r="L6" s="149"/>
      <c r="M6" s="149"/>
      <c r="N6" s="149"/>
      <c r="O6" s="149"/>
      <c r="P6" s="207"/>
      <c r="Q6" s="150"/>
      <c r="R6" s="148" t="str">
        <f ca="1">IF(ISERROR($V6),"",OFFSET('Smelter Look-up'!$C$4,$V6-4,0)&amp;"")</f>
        <v>Umicore Olen</v>
      </c>
      <c r="S6" s="154" t="str">
        <f t="shared" ca="1" si="0"/>
        <v>BE</v>
      </c>
      <c r="T6" s="154" t="str">
        <f ca="1">IF(B6="","",IF(ISERROR(MATCH($J6,SorP!$B$1:$B$6226,0)),"",INDIRECT("'SorP'!$A$"&amp;MATCH($S6&amp;$J6,SorP!C:C,0))))</f>
        <v>BE-VAN</v>
      </c>
      <c r="U6" s="167"/>
      <c r="V6" s="168">
        <f>IF(C6="",NA(),MATCH($B6&amp;$C6,'Smelter Look-up'!$J:$J,0))</f>
        <v>153</v>
      </c>
      <c r="X6" s="169">
        <f t="shared" ca="1" si="1"/>
        <v>0</v>
      </c>
      <c r="AB6" s="312" t="str">
        <f t="shared" si="2"/>
        <v>Cobalt</v>
      </c>
      <c r="AC6" s="169" t="str">
        <f t="shared" ref="AC6:AC69" si="3">B6</f>
        <v>Cobalt</v>
      </c>
      <c r="AD6" s="169" t="str">
        <f t="shared" ref="AD6:AD69" si="4">IF(C6="Smelter not listed",D6,C6)</f>
        <v>Umicore Olen</v>
      </c>
    </row>
    <row r="7" spans="1:34" s="169" customFormat="1" ht="50.4">
      <c r="A7" s="196" t="s">
        <v>243</v>
      </c>
      <c r="B7" s="302" t="s">
        <v>40</v>
      </c>
      <c r="C7" s="151" t="s">
        <v>242</v>
      </c>
      <c r="D7" s="148"/>
      <c r="E7" s="148" t="str">
        <f ca="1">IF(ISERROR($V7),"",OFFSET('Smelter Look-up'!$D$4,$V7-4,0)&amp;"")</f>
        <v>CANADA</v>
      </c>
      <c r="F7" s="148" t="str">
        <f ca="1">IF(ISERROR($V7),"",OFFSET('Smelter Look-up'!$E$4,$V7-4,0))</f>
        <v>CID003239</v>
      </c>
      <c r="G7" s="148" t="str">
        <f ca="1">IF(C7=$X$4,"Enter smelter details",IF(ISERROR($V7),"",OFFSET('Smelter Look-up'!$F$4,$V7-4,0)))</f>
        <v>RMI</v>
      </c>
      <c r="H7" s="204">
        <f ca="1">IF(ISERROR($V7),"",OFFSET('Smelter Look-up'!$G$4,$V7-4,0))</f>
        <v>0</v>
      </c>
      <c r="I7" s="205" t="str">
        <f ca="1">IF(ISERROR($V7),"",OFFSET('Smelter Look-up'!$H$4,$V7-4,0))</f>
        <v>Port Colborne</v>
      </c>
      <c r="J7" s="205" t="str">
        <f ca="1">IF(ISERROR($V7),"",OFFSET('Smelter Look-up'!$I$4,$V7-4,0))</f>
        <v>Ontario</v>
      </c>
      <c r="K7" s="149"/>
      <c r="L7" s="149"/>
      <c r="M7" s="149"/>
      <c r="N7" s="149"/>
      <c r="O7" s="149"/>
      <c r="P7" s="207"/>
      <c r="Q7" s="150"/>
      <c r="R7" s="148" t="str">
        <f ca="1">IF(ISERROR($V7),"",OFFSET('Smelter Look-up'!$C$4,$V7-4,0)&amp;"")</f>
        <v>Port Colborne Refinery</v>
      </c>
      <c r="S7" s="154" t="str">
        <f t="shared" ca="1" si="0"/>
        <v>CA</v>
      </c>
      <c r="T7" s="154" t="str">
        <f ca="1">IF(B7="","",IF(ISERROR(MATCH($J7,SorP!$B$1:$B$6226,0)),"",INDIRECT("'SorP'!$A$"&amp;MATCH($S7&amp;$J7,SorP!C:C,0))))</f>
        <v>CA-ON</v>
      </c>
      <c r="U7" s="167"/>
      <c r="V7" s="168">
        <f>IF(C7="",NA(),MATCH($B7&amp;$C7,'Smelter Look-up'!$J:$J,0))</f>
        <v>126</v>
      </c>
      <c r="X7" s="169">
        <f t="shared" ca="1" si="1"/>
        <v>0</v>
      </c>
      <c r="AB7" s="312" t="str">
        <f t="shared" si="2"/>
        <v>Cobalt</v>
      </c>
      <c r="AC7" s="169" t="str">
        <f t="shared" si="3"/>
        <v>Cobalt</v>
      </c>
      <c r="AD7" s="169" t="str">
        <f t="shared" si="4"/>
        <v>Port Colborne Refinery</v>
      </c>
    </row>
    <row r="8" spans="1:34" s="169" customFormat="1" ht="63">
      <c r="A8" s="196" t="s">
        <v>117</v>
      </c>
      <c r="B8" s="302" t="s">
        <v>40</v>
      </c>
      <c r="C8" s="151" t="s">
        <v>115</v>
      </c>
      <c r="D8" s="148"/>
      <c r="E8" s="148" t="str">
        <f ca="1">IF(ISERROR($V8),"",OFFSET('Smelter Look-up'!$D$4,$V8-4,0)&amp;"")</f>
        <v>NORWAY</v>
      </c>
      <c r="F8" s="148" t="str">
        <f ca="1">IF(ISERROR($V8),"",OFFSET('Smelter Look-up'!$E$4,$V8-4,0))</f>
        <v>CID003403</v>
      </c>
      <c r="G8" s="148" t="str">
        <f ca="1">IF(C8=$X$4,"Enter smelter details",IF(ISERROR($V8),"",OFFSET('Smelter Look-up'!$F$4,$V8-4,0)))</f>
        <v>RMI</v>
      </c>
      <c r="H8" s="204">
        <f ca="1">IF(ISERROR($V8),"",OFFSET('Smelter Look-up'!$G$4,$V8-4,0))</f>
        <v>0</v>
      </c>
      <c r="I8" s="205" t="str">
        <f ca="1">IF(ISERROR($V8),"",OFFSET('Smelter Look-up'!$H$4,$V8-4,0))</f>
        <v>Kristiansand</v>
      </c>
      <c r="J8" s="205" t="str">
        <f ca="1">IF(ISERROR($V8),"",OFFSET('Smelter Look-up'!$I$4,$V8-4,0))</f>
        <v>Agder</v>
      </c>
      <c r="K8" s="149"/>
      <c r="L8" s="149"/>
      <c r="M8" s="149"/>
      <c r="N8" s="149"/>
      <c r="O8" s="149"/>
      <c r="P8" s="207"/>
      <c r="Q8" s="150"/>
      <c r="R8" s="148" t="str">
        <f ca="1">IF(ISERROR($V8),"",OFFSET('Smelter Look-up'!$C$4,$V8-4,0)&amp;"")</f>
        <v>Glencore Nikkelverk Refinery</v>
      </c>
      <c r="S8" s="154" t="str">
        <f t="shared" ca="1" si="0"/>
        <v>NO</v>
      </c>
      <c r="T8" s="154" t="str">
        <f ca="1">IF(B8="","",IF(ISERROR(MATCH($J8,SorP!$B$1:$B$6226,0)),"",INDIRECT("'SorP'!$A$"&amp;MATCH($S8&amp;$J8,SorP!C:C,0))))</f>
        <v>NO-42</v>
      </c>
      <c r="U8" s="167"/>
      <c r="V8" s="168">
        <f>IF(C8="",NA(),MATCH($B8&amp;$C8,'Smelter Look-up'!$J:$J,0))</f>
        <v>41</v>
      </c>
      <c r="X8" s="169">
        <f t="shared" ca="1" si="1"/>
        <v>0</v>
      </c>
      <c r="AB8" s="312" t="str">
        <f t="shared" si="2"/>
        <v>Cobalt</v>
      </c>
      <c r="AC8" s="169" t="str">
        <f t="shared" si="3"/>
        <v>Cobalt</v>
      </c>
      <c r="AD8" s="169" t="str">
        <f t="shared" si="4"/>
        <v>Glencore Nikkelverk Refinery</v>
      </c>
    </row>
    <row r="9" spans="1:34" s="169" customFormat="1" ht="75.599999999999994">
      <c r="A9" s="196" t="s">
        <v>18944</v>
      </c>
      <c r="B9" s="302" t="s">
        <v>18685</v>
      </c>
      <c r="C9" s="151" t="s">
        <v>238</v>
      </c>
      <c r="D9" s="148"/>
      <c r="E9" s="148" t="str">
        <f ca="1">IF(ISERROR($V9),"",OFFSET('Smelter Look-up'!$D$4,$V9-4,0)&amp;"")</f>
        <v>FINLAND</v>
      </c>
      <c r="F9" s="148" t="str">
        <f ca="1">IF(ISERROR($V9),"",OFFSET('Smelter Look-up'!$E$4,$V9-4,0))</f>
        <v>CID004008</v>
      </c>
      <c r="G9" s="148" t="str">
        <f ca="1">IF(C9=$X$4,"Enter smelter details",IF(ISERROR($V9),"",OFFSET('Smelter Look-up'!$F$4,$V9-4,0)))</f>
        <v>RMI</v>
      </c>
      <c r="H9" s="204">
        <f ca="1">IF(ISERROR($V9),"",OFFSET('Smelter Look-up'!$G$4,$V9-4,0))</f>
        <v>0</v>
      </c>
      <c r="I9" s="205" t="str">
        <f ca="1">IF(ISERROR($V9),"",OFFSET('Smelter Look-up'!$H$4,$V9-4,0))</f>
        <v>Harjavalta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ca="1" si="0"/>
        <v>FI</v>
      </c>
      <c r="T9" s="154" t="str">
        <f ca="1">IF(B9="","",IF(ISERROR(MATCH($J9,SorP!$B$1:$B$6226,0)),"",INDIRECT("'SorP'!$A$"&amp;MATCH($S9&amp;$J9,SorP!C:C,0))))</f>
        <v>FI-17</v>
      </c>
      <c r="U9" s="167"/>
      <c r="V9" s="168">
        <f>IF(C9="",NA(),MATCH($B9&amp;$C9,'Smelter Look-up'!$J:$J,0))</f>
        <v>473</v>
      </c>
      <c r="X9" s="169">
        <f t="shared" ca="1" si="1"/>
        <v>0</v>
      </c>
      <c r="AB9" s="312" t="str">
        <f t="shared" si="2"/>
        <v>Nickel</v>
      </c>
      <c r="AC9" s="169" t="str">
        <f t="shared" si="3"/>
        <v>Nickel</v>
      </c>
      <c r="AD9" s="169" t="str">
        <f t="shared" si="4"/>
        <v>NORILSK NICKEL HARJAVALTA OY</v>
      </c>
    </row>
    <row r="10" spans="1:34" s="169" customFormat="1" ht="37.799999999999997">
      <c r="A10" s="196" t="s">
        <v>19287</v>
      </c>
      <c r="B10" s="302" t="s">
        <v>18685</v>
      </c>
      <c r="C10" s="151" t="s">
        <v>100</v>
      </c>
      <c r="D10" s="148"/>
      <c r="E10" s="148" t="str">
        <f ca="1">IF(ISERROR($V10),"",OFFSET('Smelter Look-up'!$D$4,$V10-4,0)&amp;"")</f>
        <v>FINLAND</v>
      </c>
      <c r="F10" s="148" t="str">
        <f ca="1">IF(ISERROR($V10),"",OFFSET('Smelter Look-up'!$E$4,$V10-4,0))</f>
        <v>CID005250</v>
      </c>
      <c r="G10" s="148" t="str">
        <f ca="1">IF(C10=$X$4,"Enter smelter details",IF(ISERROR($V10),"",OFFSET('Smelter Look-up'!$F$4,$V10-4,0)))</f>
        <v>RMI</v>
      </c>
      <c r="H10" s="204">
        <f ca="1">IF(ISERROR($V10),"",OFFSET('Smelter Look-up'!$G$4,$V10-4,0))</f>
        <v>0</v>
      </c>
      <c r="I10" s="205" t="str">
        <f ca="1">IF(ISERROR($V10),"",OFFSET('Smelter Look-up'!$H$4,$V10-4,0))</f>
        <v>Kokkola</v>
      </c>
      <c r="J10" s="205" t="str">
        <f ca="1">IF(ISERROR($V10),"",OFFSET('Smelter Look-up'!$I$4,$V10-4,0))</f>
        <v>Mellersta Österbotten</v>
      </c>
      <c r="K10" s="149"/>
      <c r="L10" s="149"/>
      <c r="M10" s="149"/>
      <c r="N10" s="149"/>
      <c r="O10" s="149"/>
      <c r="P10" s="207"/>
      <c r="Q10" s="150"/>
      <c r="R10" s="148" t="str">
        <f ca="1">IF(ISERROR($V10),"",OFFSET('Smelter Look-up'!$C$4,$V10-4,0)&amp;"")</f>
        <v>Umicore Finland Oy</v>
      </c>
      <c r="S10" s="154" t="str">
        <f t="shared" ca="1" si="0"/>
        <v>FI</v>
      </c>
      <c r="T10" s="154" t="str">
        <f ca="1">IF(B10="","",IF(ISERROR(MATCH($J10,SorP!$B$1:$B$6226,0)),"",INDIRECT("'SorP'!$A$"&amp;MATCH($S10&amp;$J10,SorP!C:C,0))))</f>
        <v>FI-07</v>
      </c>
      <c r="U10" s="167"/>
      <c r="V10" s="168">
        <f>IF(C10="",NA(),MATCH($B10&amp;$C10,'Smelter Look-up'!$J:$J,0))</f>
        <v>489</v>
      </c>
      <c r="X10" s="169">
        <f t="shared" ca="1" si="1"/>
        <v>0</v>
      </c>
      <c r="AB10" s="312" t="str">
        <f t="shared" si="2"/>
        <v>Nickel</v>
      </c>
      <c r="AC10" s="169" t="str">
        <f t="shared" si="3"/>
        <v>Nickel</v>
      </c>
      <c r="AD10" s="169" t="str">
        <f t="shared" si="4"/>
        <v>Umicore Finland Oy</v>
      </c>
    </row>
    <row r="11" spans="1:34" s="169" customFormat="1" ht="37.799999999999997">
      <c r="A11" s="197" t="s">
        <v>18699</v>
      </c>
      <c r="B11" s="302" t="s">
        <v>18684</v>
      </c>
      <c r="C11" s="151" t="s">
        <v>18698</v>
      </c>
      <c r="D11" s="148"/>
      <c r="E11" s="148" t="str">
        <f ca="1">IF(ISERROR($V11),"",OFFSET('Smelter Look-up'!$D$4,$V11-4,0)&amp;"")</f>
        <v>GERMANY</v>
      </c>
      <c r="F11" s="148" t="str">
        <f ca="1">IF(ISERROR($V11),"",OFFSET('Smelter Look-up'!$E$4,$V11-4,0))</f>
        <v>CID004220</v>
      </c>
      <c r="G11" s="148" t="str">
        <f ca="1">IF(C11=$X$4,"Enter smelter details",IF(ISERROR($V11),"",OFFSET('Smelter Look-up'!$F$4,$V11-4,0)))</f>
        <v>RMI</v>
      </c>
      <c r="H11" s="204">
        <f ca="1">IF(ISERROR($V11),"",OFFSET('Smelter Look-up'!$G$4,$V11-4,0))</f>
        <v>0</v>
      </c>
      <c r="I11" s="205" t="str">
        <f ca="1">IF(ISERROR($V11),"",OFFSET('Smelter Look-up'!$H$4,$V11-4,0))</f>
        <v>Hamburg</v>
      </c>
      <c r="J11" s="205" t="str">
        <f ca="1">IF(ISERROR($V11),"",OFFSET('Smelter Look-up'!$I$4,$V11-4,0))</f>
        <v>Hamburg</v>
      </c>
      <c r="K11" s="149"/>
      <c r="L11" s="149"/>
      <c r="M11" s="149"/>
      <c r="N11" s="149"/>
      <c r="O11" s="149"/>
      <c r="P11" s="207"/>
      <c r="Q11" s="150"/>
      <c r="R11" s="148" t="str">
        <f ca="1">IF(ISERROR($V11),"",OFFSET('Smelter Look-up'!$C$4,$V11-4,0)&amp;"")</f>
        <v>Aurubis Hamburg AG</v>
      </c>
      <c r="S11" s="154" t="str">
        <f t="shared" ca="1" si="0"/>
        <v>DE</v>
      </c>
      <c r="T11" s="154" t="str">
        <f ca="1">IF(B11="","",IF(ISERROR(MATCH($J11,SorP!$B$1:$B$6226,0)),"",INDIRECT("'SorP'!$A$"&amp;MATCH($S11&amp;$J11,SorP!C:C,0))))</f>
        <v>DE-HH</v>
      </c>
      <c r="U11" s="167"/>
      <c r="V11" s="168">
        <f>IF(C11="",NA(),MATCH($B11&amp;$C11,'Smelter Look-up'!$J:$J,0))</f>
        <v>186</v>
      </c>
      <c r="X11" s="169">
        <f t="shared" ca="1" si="1"/>
        <v>0</v>
      </c>
      <c r="AB11" s="312" t="str">
        <f t="shared" si="2"/>
        <v>Copper</v>
      </c>
      <c r="AC11" s="169" t="str">
        <f t="shared" si="3"/>
        <v>Copper</v>
      </c>
      <c r="AD11" s="169" t="str">
        <f t="shared" si="4"/>
        <v>Aurubis Hamburg AG</v>
      </c>
    </row>
    <row r="12" spans="1:34" s="169" customFormat="1" ht="100.8">
      <c r="A12" s="196" t="s">
        <v>18751</v>
      </c>
      <c r="B12" s="302" t="s">
        <v>18684</v>
      </c>
      <c r="C12" s="151" t="s">
        <v>18750</v>
      </c>
      <c r="D12" s="148"/>
      <c r="E12" s="148" t="str">
        <f ca="1">IF(ISERROR($V12),"",OFFSET('Smelter Look-up'!$D$4,$V12-4,0)&amp;"")</f>
        <v>POLAND</v>
      </c>
      <c r="F12" s="148" t="str">
        <f ca="1">IF(ISERROR($V12),"",OFFSET('Smelter Look-up'!$E$4,$V12-4,0))</f>
        <v>CID004463</v>
      </c>
      <c r="G12" s="148" t="str">
        <f ca="1">IF(C12=$X$4,"Enter smelter details",IF(ISERROR($V12),"",OFFSET('Smelter Look-up'!$F$4,$V12-4,0)))</f>
        <v>RMI</v>
      </c>
      <c r="H12" s="204">
        <f ca="1">IF(ISERROR($V12),"",OFFSET('Smelter Look-up'!$G$4,$V12-4,0))</f>
        <v>0</v>
      </c>
      <c r="I12" s="205" t="str">
        <f ca="1">IF(ISERROR($V12),"",OFFSET('Smelter Look-up'!$H$4,$V12-4,0))</f>
        <v>Legnica</v>
      </c>
      <c r="J12" s="205" t="str">
        <f ca="1">IF(ISERROR($V12),"",OFFSET('Smelter Look-up'!$I$4,$V12-4,0))</f>
        <v>Dolnośląskie</v>
      </c>
      <c r="K12" s="149"/>
      <c r="L12" s="149"/>
      <c r="M12" s="149"/>
      <c r="N12" s="149"/>
      <c r="O12" s="149"/>
      <c r="P12" s="207"/>
      <c r="Q12" s="150"/>
      <c r="R12" s="148" t="str">
        <f ca="1">IF(ISERROR($V12),"",OFFSET('Smelter Look-up'!$C$4,$V12-4,0)&amp;"")</f>
        <v>KGHM Polska Miedz S.A. Oddzial Huta Miedzi, Legnica</v>
      </c>
      <c r="S12" s="154" t="str">
        <f t="shared" ca="1" si="0"/>
        <v>PL</v>
      </c>
      <c r="T12" s="154" t="str">
        <f ca="1">IF(B12="","",IF(ISERROR(MATCH($J12,SorP!$B$1:$B$6226,0)),"",INDIRECT("'SorP'!$A$"&amp;MATCH($S12&amp;$J12,SorP!C:C,0))))</f>
        <v>PL-02</v>
      </c>
      <c r="U12" s="167"/>
      <c r="V12" s="168">
        <f>IF(C12="",NA(),MATCH($B12&amp;$C12,'Smelter Look-up'!$J:$J,0))</f>
        <v>240</v>
      </c>
      <c r="X12" s="169">
        <f t="shared" ca="1" si="1"/>
        <v>0</v>
      </c>
      <c r="AB12" s="312" t="str">
        <f t="shared" si="2"/>
        <v>Copper</v>
      </c>
      <c r="AC12" s="169" t="str">
        <f t="shared" si="3"/>
        <v>Copper</v>
      </c>
      <c r="AD12" s="169" t="str">
        <f t="shared" si="4"/>
        <v>KGHM Polska Miedz S.A. Oddzial Huta Miedzi, Legnica</v>
      </c>
    </row>
    <row r="13" spans="1:34" s="169" customFormat="1" ht="50.4">
      <c r="A13" s="196" t="s">
        <v>18799</v>
      </c>
      <c r="B13" s="302" t="s">
        <v>18684</v>
      </c>
      <c r="C13" s="151" t="s">
        <v>18798</v>
      </c>
      <c r="D13" s="148"/>
      <c r="E13" s="148" t="str">
        <f ca="1">IF(ISERROR($V13),"",OFFSET('Smelter Look-up'!$D$4,$V13-4,0)&amp;"")</f>
        <v>CHILE</v>
      </c>
      <c r="F13" s="148" t="str">
        <f ca="1">IF(ISERROR($V13),"",OFFSET('Smelter Look-up'!$E$4,$V13-4,0))</f>
        <v>CID004128</v>
      </c>
      <c r="G13" s="148" t="str">
        <f ca="1">IF(C13=$X$4,"Enter smelter details",IF(ISERROR($V13),"",OFFSET('Smelter Look-up'!$F$4,$V13-4,0)))</f>
        <v>RMI</v>
      </c>
      <c r="H13" s="204">
        <f ca="1">IF(ISERROR($V13),"",OFFSET('Smelter Look-up'!$G$4,$V13-4,0))</f>
        <v>0</v>
      </c>
      <c r="I13" s="205" t="str">
        <f ca="1">IF(ISERROR($V13),"",OFFSET('Smelter Look-up'!$H$4,$V13-4,0))</f>
        <v>Calama</v>
      </c>
      <c r="J13" s="205" t="str">
        <f ca="1">IF(ISERROR($V13),"",OFFSET('Smelter Look-up'!$I$4,$V13-4,0))</f>
        <v>Antofagasta</v>
      </c>
      <c r="K13" s="149"/>
      <c r="L13" s="149"/>
      <c r="M13" s="149"/>
      <c r="N13" s="149"/>
      <c r="O13" s="149"/>
      <c r="P13" s="207"/>
      <c r="Q13" s="150"/>
      <c r="R13" s="148" t="str">
        <f ca="1">IF(ISERROR($V13),"",OFFSET('Smelter Look-up'!$C$4,$V13-4,0)&amp;"")</f>
        <v>Division Radomiro Tomic</v>
      </c>
      <c r="S13" s="154" t="str">
        <f t="shared" ref="S13:S63" ca="1" si="5">IF(B13="","",IF(ISERROR(MATCH($E13,CL,0)),"Unknown",INDIRECT("'C'!$A$"&amp;MATCH($E13,CL,0)+1)))</f>
        <v>CL</v>
      </c>
      <c r="T13" s="154" t="str">
        <f ca="1">IF(B13="","",IF(ISERROR(MATCH($J13,SorP!$B$1:$B$6226,0)),"",INDIRECT("'SorP'!$A$"&amp;MATCH($S13&amp;$J13,SorP!C:C,0))))</f>
        <v>CL-AN</v>
      </c>
      <c r="U13" s="167"/>
      <c r="V13" s="168">
        <f>IF(C13="",NA(),MATCH($B13&amp;$C13,'Smelter Look-up'!$J:$J,0))</f>
        <v>279</v>
      </c>
      <c r="X13" s="169">
        <f t="shared" ref="X13:X62" ca="1" si="6">IF(AND(C13="Smelter not listed",OR(LEN(D13)=0,LEN(E13)=0)),1,0)</f>
        <v>0</v>
      </c>
      <c r="AB13" s="312" t="str">
        <f t="shared" ref="AB13:AB69" si="7">IF(C13="","",B13)</f>
        <v>Copper</v>
      </c>
      <c r="AC13" s="169" t="str">
        <f t="shared" si="3"/>
        <v>Copper</v>
      </c>
      <c r="AD13" s="169" t="str">
        <f t="shared" si="4"/>
        <v>Radomiro Tomic</v>
      </c>
    </row>
    <row r="14" spans="1:34" s="169" customFormat="1" ht="50.4">
      <c r="A14" s="197" t="s">
        <v>19272</v>
      </c>
      <c r="B14" s="302" t="s">
        <v>18684</v>
      </c>
      <c r="C14" s="151" t="s">
        <v>18748</v>
      </c>
      <c r="D14" s="148"/>
      <c r="E14" s="148" t="str">
        <f ca="1">IF(ISERROR($V14),"",OFFSET('Smelter Look-up'!$D$4,$V14-4,0)&amp;"")</f>
        <v>UNITED STATES OF AMERICA</v>
      </c>
      <c r="F14" s="148" t="str">
        <f ca="1">IF(ISERROR($V14),"",OFFSET('Smelter Look-up'!$E$4,$V14-4,0))</f>
        <v>CID005274</v>
      </c>
      <c r="G14" s="148" t="str">
        <f ca="1">IF(C14=$X$4,"Enter smelter details",IF(ISERROR($V14),"",OFFSET('Smelter Look-up'!$F$4,$V14-4,0)))</f>
        <v>RMI</v>
      </c>
      <c r="H14" s="204">
        <f ca="1">IF(ISERROR($V14),"",OFFSET('Smelter Look-up'!$G$4,$V14-4,0))</f>
        <v>0</v>
      </c>
      <c r="I14" s="205" t="str">
        <f ca="1">IF(ISERROR($V14),"",OFFSET('Smelter Look-up'!$H$4,$V14-4,0))</f>
        <v>Salt Lake City</v>
      </c>
      <c r="J14" s="205" t="str">
        <f ca="1">IF(ISERROR($V14),"",OFFSET('Smelter Look-up'!$I$4,$V14-4,0))</f>
        <v>Utah</v>
      </c>
      <c r="K14" s="149"/>
      <c r="L14" s="149"/>
      <c r="M14" s="149"/>
      <c r="N14" s="149"/>
      <c r="O14" s="149"/>
      <c r="P14" s="207"/>
      <c r="Q14" s="150"/>
      <c r="R14" s="148" t="str">
        <f ca="1">IF(ISERROR($V14),"",OFFSET('Smelter Look-up'!$C$4,$V14-4,0)&amp;"")</f>
        <v>Kennecott Utah Copper LLC</v>
      </c>
      <c r="S14" s="154" t="str">
        <f t="shared" ca="1" si="5"/>
        <v>US</v>
      </c>
      <c r="T14" s="154" t="str">
        <f ca="1">IF(B14="","",IF(ISERROR(MATCH($J14,SorP!$B$1:$B$6226,0)),"",INDIRECT("'SorP'!$A$"&amp;MATCH($S14&amp;$J14,SorP!C:C,0))))</f>
        <v>US-UT</v>
      </c>
      <c r="U14" s="167"/>
      <c r="V14" s="168">
        <f>IF(C14="",NA(),MATCH($B14&amp;$C14,'Smelter Look-up'!$J:$J,0))</f>
        <v>237</v>
      </c>
      <c r="X14" s="169">
        <f t="shared" ca="1" si="6"/>
        <v>0</v>
      </c>
      <c r="AB14" s="312" t="str">
        <f t="shared" si="7"/>
        <v>Copper</v>
      </c>
      <c r="AC14" s="169" t="str">
        <f t="shared" si="3"/>
        <v>Copper</v>
      </c>
      <c r="AD14" s="169" t="str">
        <f t="shared" si="4"/>
        <v>Kennecott Utah Copper LLC (Rio Tinto Kennecott or RTK)</v>
      </c>
    </row>
    <row r="15" spans="1:34" s="169" customFormat="1" ht="88.2">
      <c r="A15" s="197" t="s">
        <v>18715</v>
      </c>
      <c r="B15" s="302" t="s">
        <v>18684</v>
      </c>
      <c r="C15" s="151" t="s">
        <v>18714</v>
      </c>
      <c r="D15" s="148"/>
      <c r="E15" s="148" t="str">
        <f ca="1">IF(ISERROR($V15),"",OFFSET('Smelter Look-up'!$D$4,$V15-4,0)&amp;"")</f>
        <v>CANADA</v>
      </c>
      <c r="F15" s="148" t="str">
        <f ca="1">IF(ISERROR($V15),"",OFFSET('Smelter Look-up'!$E$4,$V15-4,0))</f>
        <v>CID004087</v>
      </c>
      <c r="G15" s="148" t="str">
        <f ca="1">IF(C15=$X$4,"Enter smelter details",IF(ISERROR($V15),"",OFFSET('Smelter Look-up'!$F$4,$V15-4,0)))</f>
        <v>RMI</v>
      </c>
      <c r="H15" s="204">
        <f ca="1">IF(ISERROR($V15),"",OFFSET('Smelter Look-up'!$G$4,$V15-4,0))</f>
        <v>0</v>
      </c>
      <c r="I15" s="205" t="str">
        <f ca="1">IF(ISERROR($V15),"",OFFSET('Smelter Look-up'!$H$4,$V15-4,0))</f>
        <v>Montreal East</v>
      </c>
      <c r="J15" s="205" t="str">
        <f ca="1">IF(ISERROR($V15),"",OFFSET('Smelter Look-up'!$I$4,$V15-4,0))</f>
        <v>Quebec</v>
      </c>
      <c r="K15" s="149"/>
      <c r="L15" s="149"/>
      <c r="M15" s="149"/>
      <c r="N15" s="149"/>
      <c r="O15" s="149"/>
      <c r="P15" s="207"/>
      <c r="Q15" s="150"/>
      <c r="R15" s="148" t="str">
        <f ca="1">IF(ISERROR($V15),"",OFFSET('Smelter Look-up'!$C$4,$V15-4,0)&amp;"")</f>
        <v>Glencore Canada Corporation - CCR Refinery</v>
      </c>
      <c r="S15" s="154" t="str">
        <f t="shared" ca="1" si="5"/>
        <v>CA</v>
      </c>
      <c r="T15" s="154" t="str">
        <f ca="1">IF(B15="","",IF(ISERROR(MATCH($J15,SorP!$B$1:$B$6226,0)),"",INDIRECT("'SorP'!$A$"&amp;MATCH($S15&amp;$J15,SorP!C:C,0))))</f>
        <v>CA-QC</v>
      </c>
      <c r="U15" s="167"/>
      <c r="V15" s="168">
        <f>IF(C15="",NA(),MATCH($B15&amp;$C15,'Smelter Look-up'!$J:$J,0))</f>
        <v>195</v>
      </c>
      <c r="X15" s="169">
        <f t="shared" ca="1" si="6"/>
        <v>0</v>
      </c>
      <c r="AB15" s="312" t="str">
        <f t="shared" si="7"/>
        <v>Copper</v>
      </c>
      <c r="AC15" s="169" t="str">
        <f t="shared" si="3"/>
        <v>Copper</v>
      </c>
      <c r="AD15" s="169" t="str">
        <f t="shared" si="4"/>
        <v>CCR Refinery - Glencore Canada Corporation</v>
      </c>
    </row>
    <row r="16" spans="1:34" s="169" customFormat="1" ht="63">
      <c r="A16" s="196" t="s">
        <v>20029</v>
      </c>
      <c r="B16" s="302" t="s">
        <v>18684</v>
      </c>
      <c r="C16" s="151" t="s">
        <v>20028</v>
      </c>
      <c r="D16" s="148"/>
      <c r="E16" s="148" t="str">
        <f ca="1">IF(ISERROR($V16),"",OFFSET('Smelter Look-up'!$D$4,$V16-4,0)&amp;"")</f>
        <v>CHILE</v>
      </c>
      <c r="F16" s="148" t="str">
        <f ca="1">IF(ISERROR($V16),"",OFFSET('Smelter Look-up'!$E$4,$V16-4,0))</f>
        <v>CID004470</v>
      </c>
      <c r="G16" s="148" t="str">
        <f ca="1">IF(C16=$X$4,"Enter smelter details",IF(ISERROR($V16),"",OFFSET('Smelter Look-up'!$F$4,$V16-4,0)))</f>
        <v>RMI</v>
      </c>
      <c r="H16" s="204">
        <f ca="1">IF(ISERROR($V16),"",OFFSET('Smelter Look-up'!$G$4,$V16-4,0))</f>
        <v>0</v>
      </c>
      <c r="I16" s="205" t="str">
        <f ca="1">IF(ISERROR($V16),"",OFFSET('Smelter Look-up'!$H$4,$V16-4,0))</f>
        <v>Valparaiso</v>
      </c>
      <c r="J16" s="205" t="str">
        <f ca="1">IF(ISERROR($V16),"",OFFSET('Smelter Look-up'!$I$4,$V16-4,0))</f>
        <v>Valparaiso</v>
      </c>
      <c r="K16" s="149"/>
      <c r="L16" s="149"/>
      <c r="M16" s="149"/>
      <c r="N16" s="149"/>
      <c r="O16" s="149"/>
      <c r="P16" s="207"/>
      <c r="Q16" s="150"/>
      <c r="R16" s="148" t="str">
        <f ca="1">IF(ISERROR($V16),"",OFFSET('Smelter Look-up'!$C$4,$V16-4,0)&amp;"")</f>
        <v>Anglo American (Chagres)</v>
      </c>
      <c r="S16" s="154" t="str">
        <f t="shared" ca="1" si="5"/>
        <v>CL</v>
      </c>
      <c r="T16" s="154" t="str">
        <f ca="1">IF(B16="","",IF(ISERROR(MATCH($J16,SorP!$B$1:$B$6226,0)),"",INDIRECT("'SorP'!$A$"&amp;MATCH($S16&amp;$J16,SorP!C:C,0))))</f>
        <v/>
      </c>
      <c r="U16" s="167"/>
      <c r="V16" s="168">
        <f>IF(C16="",NA(),MATCH($B16&amp;$C16,'Smelter Look-up'!$J:$J,0))</f>
        <v>180</v>
      </c>
      <c r="X16" s="169">
        <f t="shared" ca="1" si="6"/>
        <v>0</v>
      </c>
      <c r="AB16" s="312" t="str">
        <f t="shared" si="7"/>
        <v>Copper</v>
      </c>
      <c r="AC16" s="169" t="str">
        <f t="shared" si="3"/>
        <v>Copper</v>
      </c>
      <c r="AD16" s="169" t="str">
        <f t="shared" si="4"/>
        <v>Anglo American (Chagres)</v>
      </c>
    </row>
    <row r="17" spans="1:30" s="169" customFormat="1" ht="50.4">
      <c r="A17" s="196" t="s">
        <v>18739</v>
      </c>
      <c r="B17" s="302" t="s">
        <v>18684</v>
      </c>
      <c r="C17" s="151" t="s">
        <v>115</v>
      </c>
      <c r="D17" s="148"/>
      <c r="E17" s="148" t="str">
        <f ca="1">IF(ISERROR($V17),"",OFFSET('Smelter Look-up'!$D$4,$V17-4,0)&amp;"")</f>
        <v>NORWAY</v>
      </c>
      <c r="F17" s="148" t="str">
        <f ca="1">IF(ISERROR($V17),"",OFFSET('Smelter Look-up'!$E$4,$V17-4,0))</f>
        <v>CID004288</v>
      </c>
      <c r="G17" s="148" t="str">
        <f ca="1">IF(C17=$X$4,"Enter smelter details",IF(ISERROR($V17),"",OFFSET('Smelter Look-up'!$F$4,$V17-4,0)))</f>
        <v>RMI</v>
      </c>
      <c r="H17" s="204">
        <f ca="1">IF(ISERROR($V17),"",OFFSET('Smelter Look-up'!$G$4,$V17-4,0))</f>
        <v>0</v>
      </c>
      <c r="I17" s="205" t="str">
        <f ca="1">IF(ISERROR($V17),"",OFFSET('Smelter Look-up'!$H$4,$V17-4,0))</f>
        <v>Kristiansand</v>
      </c>
      <c r="J17" s="205" t="str">
        <f ca="1">IF(ISERROR($V17),"",OFFSET('Smelter Look-up'!$I$4,$V17-4,0))</f>
        <v>Agder</v>
      </c>
      <c r="K17" s="149"/>
      <c r="L17" s="149"/>
      <c r="M17" s="149"/>
      <c r="N17" s="149"/>
      <c r="O17" s="149"/>
      <c r="P17" s="207"/>
      <c r="Q17" s="150"/>
      <c r="R17" s="148" t="str">
        <f ca="1">IF(ISERROR($V17),"",OFFSET('Smelter Look-up'!$C$4,$V17-4,0)&amp;"")</f>
        <v>Glencore Nikkelverk AS</v>
      </c>
      <c r="S17" s="154" t="str">
        <f t="shared" ca="1" si="5"/>
        <v>NO</v>
      </c>
      <c r="T17" s="154" t="str">
        <f ca="1">IF(B17="","",IF(ISERROR(MATCH($J17,SorP!$B$1:$B$6226,0)),"",INDIRECT("'SorP'!$A$"&amp;MATCH($S17&amp;$J17,SorP!C:C,0))))</f>
        <v>NO-42</v>
      </c>
      <c r="U17" s="167"/>
      <c r="V17" s="168">
        <f>IF(C17="",NA(),MATCH($B17&amp;$C17,'Smelter Look-up'!$J:$J,0))</f>
        <v>224</v>
      </c>
      <c r="X17" s="169">
        <f t="shared" ca="1" si="6"/>
        <v>0</v>
      </c>
      <c r="AB17" s="312" t="str">
        <f t="shared" si="7"/>
        <v>Copper</v>
      </c>
      <c r="AC17" s="169" t="str">
        <f t="shared" si="3"/>
        <v>Copper</v>
      </c>
      <c r="AD17" s="169" t="str">
        <f t="shared" si="4"/>
        <v>Glencore Nikkelverk Refinery</v>
      </c>
    </row>
    <row r="18" spans="1:30" s="169" customFormat="1" ht="75.599999999999994">
      <c r="A18" s="196" t="s">
        <v>18718</v>
      </c>
      <c r="B18" s="302" t="s">
        <v>18684</v>
      </c>
      <c r="C18" s="151" t="s">
        <v>18717</v>
      </c>
      <c r="D18" s="148"/>
      <c r="E18" s="148" t="str">
        <f ca="1">IF(ISERROR($V18),"",OFFSET('Smelter Look-up'!$D$4,$V18-4,0)&amp;"")</f>
        <v>PERU</v>
      </c>
      <c r="F18" s="148" t="str">
        <f ca="1">IF(ISERROR($V18),"",OFFSET('Smelter Look-up'!$E$4,$V18-4,0))</f>
        <v>CID004460</v>
      </c>
      <c r="G18" s="148" t="str">
        <f ca="1">IF(C18=$X$4,"Enter smelter details",IF(ISERROR($V18),"",OFFSET('Smelter Look-up'!$F$4,$V18-4,0)))</f>
        <v>RMI</v>
      </c>
      <c r="H18" s="204">
        <f ca="1">IF(ISERROR($V18),"",OFFSET('Smelter Look-up'!$G$4,$V18-4,0))</f>
        <v>0</v>
      </c>
      <c r="I18" s="205" t="str">
        <f ca="1">IF(ISERROR($V18),"",OFFSET('Smelter Look-up'!$H$4,$V18-4,0))</f>
        <v>Arequipa</v>
      </c>
      <c r="J18" s="205" t="str">
        <f ca="1">IF(ISERROR($V18),"",OFFSET('Smelter Look-up'!$I$4,$V18-4,0))</f>
        <v>Arequipa</v>
      </c>
      <c r="K18" s="149"/>
      <c r="L18" s="149"/>
      <c r="M18" s="149"/>
      <c r="N18" s="149"/>
      <c r="O18" s="149"/>
      <c r="P18" s="207"/>
      <c r="Q18" s="150"/>
      <c r="R18" s="148" t="str">
        <f ca="1">IF(ISERROR($V18),"",OFFSET('Smelter Look-up'!$C$4,$V18-4,0)&amp;"")</f>
        <v>Sociedad Minera Cerro Verde S.A.A.</v>
      </c>
      <c r="S18" s="154" t="str">
        <f t="shared" ca="1" si="5"/>
        <v>PE</v>
      </c>
      <c r="T18" s="154" t="str">
        <f ca="1">IF(B18="","",IF(ISERROR(MATCH($J18,SorP!$B$1:$B$6226,0)),"",INDIRECT("'SorP'!$A$"&amp;MATCH($S18&amp;$J18,SorP!C:C,0))))</f>
        <v>PE-ARE</v>
      </c>
      <c r="U18" s="167"/>
      <c r="V18" s="168">
        <f>IF(C18="",NA(),MATCH($B18&amp;$C18,'Smelter Look-up'!$J:$J,0))</f>
        <v>292</v>
      </c>
      <c r="X18" s="169">
        <f t="shared" ca="1" si="6"/>
        <v>0</v>
      </c>
      <c r="AB18" s="312" t="str">
        <f t="shared" si="7"/>
        <v>Copper</v>
      </c>
      <c r="AC18" s="169" t="str">
        <f t="shared" si="3"/>
        <v>Copper</v>
      </c>
      <c r="AD18" s="169" t="str">
        <f t="shared" si="4"/>
        <v>Sociedad Minera Cerro Verde S.A.A.</v>
      </c>
    </row>
    <row r="19" spans="1:30" s="169" customFormat="1" ht="20.399999999999999">
      <c r="A19" s="196" t="s">
        <v>18756</v>
      </c>
      <c r="B19" s="302" t="s">
        <v>18684</v>
      </c>
      <c r="C19" s="151" t="s">
        <v>103</v>
      </c>
      <c r="D19" s="148"/>
      <c r="E19" s="148" t="str">
        <f ca="1">IF(ISERROR($V19),"",OFFSET('Smelter Look-up'!$D$4,$V19-4,0)&amp;"")</f>
        <v>FINLAND</v>
      </c>
      <c r="F19" s="148" t="str">
        <f ca="1">IF(ISERROR($V19),"",OFFSET('Smelter Look-up'!$E$4,$V19-4,0))</f>
        <v>CID004218</v>
      </c>
      <c r="G19" s="148" t="str">
        <f ca="1">IF(C19=$X$4,"Enter smelter details",IF(ISERROR($V19),"",OFFSET('Smelter Look-up'!$F$4,$V19-4,0)))</f>
        <v>RMI</v>
      </c>
      <c r="H19" s="204">
        <f ca="1">IF(ISERROR($V19),"",OFFSET('Smelter Look-up'!$G$4,$V19-4,0))</f>
        <v>0</v>
      </c>
      <c r="I19" s="205" t="str">
        <f ca="1">IF(ISERROR($V19),"",OFFSET('Smelter Look-up'!$H$4,$V19-4,0))</f>
        <v>Kokkola</v>
      </c>
      <c r="J19" s="205" t="str">
        <f ca="1">IF(ISERROR($V19),"",OFFSET('Smelter Look-up'!$I$4,$V19-4,0))</f>
        <v>Keski-Pohjanmaa</v>
      </c>
      <c r="K19" s="149"/>
      <c r="L19" s="149"/>
      <c r="M19" s="149"/>
      <c r="N19" s="149"/>
      <c r="O19" s="149"/>
      <c r="P19" s="207"/>
      <c r="Q19" s="150"/>
      <c r="R19" s="148" t="str">
        <f ca="1">IF(ISERROR($V19),"",OFFSET('Smelter Look-up'!$C$4,$V19-4,0)&amp;"")</f>
        <v>Boliden Kokkola Oy</v>
      </c>
      <c r="S19" s="154" t="str">
        <f t="shared" ca="1" si="5"/>
        <v>FI</v>
      </c>
      <c r="T19" s="154" t="str">
        <f ca="1">IF(B19="","",IF(ISERROR(MATCH($J19,SorP!$B$1:$B$6226,0)),"",INDIRECT("'SorP'!$A$"&amp;MATCH($S19&amp;$J19,SorP!C:C,0))))</f>
        <v>FI-07</v>
      </c>
      <c r="U19" s="167"/>
      <c r="V19" s="168">
        <f>IF(C19="",NA(),MATCH($B19&amp;$C19,'Smelter Look-up'!$J:$J,0))</f>
        <v>244</v>
      </c>
      <c r="X19" s="169">
        <f t="shared" ca="1" si="6"/>
        <v>0</v>
      </c>
      <c r="AB19" s="312" t="str">
        <f t="shared" si="7"/>
        <v>Copper</v>
      </c>
      <c r="AC19" s="169" t="str">
        <f t="shared" si="3"/>
        <v>Copper</v>
      </c>
      <c r="AD19" s="169" t="str">
        <f t="shared" si="4"/>
        <v>Kokkola</v>
      </c>
    </row>
    <row r="20" spans="1:30" s="169" customFormat="1" ht="20.399999999999999">
      <c r="A20" s="197" t="s">
        <v>18799</v>
      </c>
      <c r="B20" s="302" t="s">
        <v>18684</v>
      </c>
      <c r="C20" s="151" t="s">
        <v>18798</v>
      </c>
      <c r="D20" s="148"/>
      <c r="E20" s="148" t="str">
        <f ca="1">IF(ISERROR($V20),"",OFFSET('Smelter Look-up'!$D$4,$V20-4,0)&amp;"")</f>
        <v>CHILE</v>
      </c>
      <c r="F20" s="148" t="str">
        <f ca="1">IF(ISERROR($V20),"",OFFSET('Smelter Look-up'!$E$4,$V20-4,0))</f>
        <v>CID004128</v>
      </c>
      <c r="G20" s="148" t="str">
        <f ca="1">IF(C20=$X$4,"Enter smelter details",IF(ISERROR($V20),"",OFFSET('Smelter Look-up'!$F$4,$V20-4,0)))</f>
        <v>RMI</v>
      </c>
      <c r="H20" s="204">
        <f ca="1">IF(ISERROR($V20),"",OFFSET('Smelter Look-up'!$G$4,$V20-4,0))</f>
        <v>0</v>
      </c>
      <c r="I20" s="205" t="str">
        <f ca="1">IF(ISERROR($V20),"",OFFSET('Smelter Look-up'!$H$4,$V20-4,0))</f>
        <v>Calama</v>
      </c>
      <c r="J20" s="205" t="str">
        <f ca="1">IF(ISERROR($V20),"",OFFSET('Smelter Look-up'!$I$4,$V20-4,0))</f>
        <v>Antofagasta</v>
      </c>
      <c r="K20" s="149"/>
      <c r="L20" s="149"/>
      <c r="M20" s="149"/>
      <c r="N20" s="149"/>
      <c r="O20" s="149"/>
      <c r="P20" s="207"/>
      <c r="Q20" s="150"/>
      <c r="R20" s="148" t="str">
        <f ca="1">IF(ISERROR($V20),"",OFFSET('Smelter Look-up'!$C$4,$V20-4,0)&amp;"")</f>
        <v>Division Radomiro Tomic</v>
      </c>
      <c r="S20" s="154" t="str">
        <f t="shared" ca="1" si="5"/>
        <v>CL</v>
      </c>
      <c r="T20" s="154" t="str">
        <f ca="1">IF(B20="","",IF(ISERROR(MATCH($J20,SorP!$B$1:$B$6226,0)),"",INDIRECT("'SorP'!$A$"&amp;MATCH($S20&amp;$J20,SorP!C:C,0))))</f>
        <v>CL-AN</v>
      </c>
      <c r="U20" s="167"/>
      <c r="V20" s="168">
        <f>IF(C20="",NA(),MATCH($B20&amp;$C20,'Smelter Look-up'!$J:$J,0))</f>
        <v>279</v>
      </c>
      <c r="X20" s="169">
        <f t="shared" ca="1" si="6"/>
        <v>0</v>
      </c>
      <c r="AB20" s="312" t="str">
        <f t="shared" si="7"/>
        <v>Copper</v>
      </c>
      <c r="AC20" s="169" t="str">
        <f t="shared" si="3"/>
        <v>Copper</v>
      </c>
      <c r="AD20" s="169" t="str">
        <f t="shared" si="4"/>
        <v>Radomiro Tomic</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Bead Electronics - a division of Bead Industries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David Brenton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dbrenton@beadindustries.com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203-301-0270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David Brenton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DBrenton@beadindustries.com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45981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Nickel(*)</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No</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Nickel</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Jess Valentino</cp:lastModifiedBy>
  <cp:revision/>
  <dcterms:created xsi:type="dcterms:W3CDTF">2010-06-21T21:00:23Z</dcterms:created>
  <dcterms:modified xsi:type="dcterms:W3CDTF">2026-03-26T15:06:05Z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